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web\wiki\hpcwiki\external\off-premise\"/>
    </mc:Choice>
  </mc:AlternateContent>
  <bookViews>
    <workbookView xWindow="0" yWindow="0" windowWidth="23040" windowHeight="1066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  <c r="D14" i="1"/>
  <c r="J15" i="1"/>
  <c r="I15" i="1"/>
  <c r="H15" i="1"/>
  <c r="G15" i="1"/>
  <c r="F15" i="1"/>
  <c r="E15" i="1"/>
  <c r="D15" i="1"/>
  <c r="M15" i="1"/>
  <c r="M14" i="1"/>
  <c r="M16" i="1"/>
  <c r="M11" i="1"/>
  <c r="M12" i="1"/>
  <c r="D13" i="1"/>
  <c r="I13" i="1"/>
  <c r="H13" i="1"/>
  <c r="G13" i="1"/>
  <c r="N13" i="1"/>
  <c r="E13" i="1" s="1"/>
  <c r="N12" i="1"/>
  <c r="D8" i="1"/>
  <c r="E8" i="1" s="1"/>
  <c r="F8" i="1" s="1"/>
  <c r="G8" i="1" s="1"/>
  <c r="H8" i="1" s="1"/>
  <c r="I8" i="1" s="1"/>
  <c r="J8" i="1" s="1"/>
  <c r="D7" i="1"/>
  <c r="E7" i="1" s="1"/>
  <c r="F7" i="1" s="1"/>
  <c r="G7" i="1" s="1"/>
  <c r="H7" i="1" s="1"/>
  <c r="I7" i="1" s="1"/>
  <c r="J7" i="1" s="1"/>
  <c r="E6" i="1"/>
  <c r="F6" i="1" s="1"/>
  <c r="G6" i="1" s="1"/>
  <c r="H6" i="1" s="1"/>
  <c r="I6" i="1" s="1"/>
  <c r="J6" i="1" s="1"/>
  <c r="J13" i="1" s="1"/>
  <c r="D5" i="1"/>
  <c r="E5" i="1" s="1"/>
  <c r="F5" i="1" s="1"/>
  <c r="G5" i="1" s="1"/>
  <c r="H5" i="1" s="1"/>
  <c r="I5" i="1" s="1"/>
  <c r="J5" i="1" s="1"/>
  <c r="J23" i="1" s="1"/>
  <c r="J24" i="1" s="1"/>
  <c r="D4" i="1"/>
  <c r="E4" i="1" s="1"/>
  <c r="F4" i="1" s="1"/>
  <c r="G4" i="1" s="1"/>
  <c r="H4" i="1" s="1"/>
  <c r="I4" i="1" s="1"/>
  <c r="J4" i="1" s="1"/>
  <c r="J21" i="1" s="1"/>
  <c r="J22" i="1" s="1"/>
  <c r="D23" i="1" l="1"/>
  <c r="D24" i="1" s="1"/>
  <c r="F23" i="1"/>
  <c r="F24" i="1" s="1"/>
  <c r="I23" i="1"/>
  <c r="I24" i="1" s="1"/>
  <c r="H12" i="1"/>
  <c r="G23" i="1"/>
  <c r="G24" i="1" s="1"/>
  <c r="J25" i="1"/>
  <c r="E23" i="1"/>
  <c r="E24" i="1" s="1"/>
  <c r="H23" i="1"/>
  <c r="H24" i="1" s="1"/>
  <c r="H11" i="1"/>
  <c r="G21" i="1"/>
  <c r="G22" i="1" s="1"/>
  <c r="H21" i="1"/>
  <c r="H22" i="1" s="1"/>
  <c r="I21" i="1"/>
  <c r="I22" i="1" s="1"/>
  <c r="D21" i="1"/>
  <c r="D22" i="1" s="1"/>
  <c r="E21" i="1"/>
  <c r="E22" i="1" s="1"/>
  <c r="F21" i="1"/>
  <c r="F22" i="1" s="1"/>
  <c r="F25" i="1" s="1"/>
  <c r="K14" i="1"/>
  <c r="K15" i="1"/>
  <c r="E11" i="1"/>
  <c r="I11" i="1"/>
  <c r="F11" i="1"/>
  <c r="J11" i="1"/>
  <c r="G11" i="1"/>
  <c r="D11" i="1"/>
  <c r="D12" i="1"/>
  <c r="J12" i="1"/>
  <c r="G12" i="1"/>
  <c r="E12" i="1"/>
  <c r="I12" i="1"/>
  <c r="F12" i="1"/>
  <c r="F13" i="1"/>
  <c r="H25" i="1" l="1"/>
  <c r="D25" i="1"/>
  <c r="E26" i="1" s="1"/>
  <c r="E27" i="1" s="1"/>
  <c r="I25" i="1"/>
  <c r="J26" i="1" s="1"/>
  <c r="J27" i="1" s="1"/>
  <c r="E25" i="1"/>
  <c r="G25" i="1"/>
  <c r="H26" i="1" s="1"/>
  <c r="H27" i="1" s="1"/>
  <c r="K11" i="1"/>
  <c r="K12" i="1"/>
  <c r="K13" i="1"/>
  <c r="D26" i="1" l="1"/>
  <c r="D27" i="1" s="1"/>
  <c r="D29" i="1" s="1"/>
  <c r="F26" i="1"/>
  <c r="F27" i="1" s="1"/>
  <c r="I26" i="1"/>
  <c r="I27" i="1" s="1"/>
  <c r="G26" i="1"/>
  <c r="G27" i="1" s="1"/>
  <c r="D16" i="1"/>
  <c r="E28" i="1"/>
  <c r="D17" i="1" l="1"/>
  <c r="E29" i="1"/>
  <c r="E16" i="1" s="1"/>
  <c r="E17" i="1" s="1"/>
  <c r="F28" i="1" l="1"/>
  <c r="F29" i="1" l="1"/>
  <c r="F16" i="1" s="1"/>
  <c r="G28" i="1" l="1"/>
  <c r="G29" i="1"/>
  <c r="G16" i="1" s="1"/>
  <c r="G17" i="1" s="1"/>
  <c r="F17" i="1"/>
  <c r="H28" i="1" l="1"/>
  <c r="H29" i="1" l="1"/>
  <c r="H16" i="1" s="1"/>
  <c r="H17" i="1" l="1"/>
  <c r="I28" i="1"/>
  <c r="I29" i="1" l="1"/>
  <c r="I16" i="1" s="1"/>
  <c r="I17" i="1" l="1"/>
  <c r="J28" i="1"/>
  <c r="J29" i="1" s="1"/>
  <c r="J16" i="1" s="1"/>
  <c r="J17" i="1" s="1"/>
  <c r="K17" i="1" s="1"/>
  <c r="K19" i="1" s="1"/>
  <c r="K16" i="1" l="1"/>
</calcChain>
</file>

<file path=xl/comments1.xml><?xml version="1.0" encoding="utf-8"?>
<comments xmlns="http://schemas.openxmlformats.org/spreadsheetml/2006/main">
  <authors>
    <author>KJW</author>
    <author>Windows User</author>
  </authors>
  <commentList>
    <comment ref="M11" authorId="0" shapeId="0">
      <text>
        <r>
          <rPr>
            <b/>
            <sz val="9"/>
            <color indexed="81"/>
            <rFont val="Tahoma"/>
            <family val="2"/>
          </rPr>
          <t>KJW:</t>
        </r>
        <r>
          <rPr>
            <sz val="9"/>
            <color indexed="81"/>
            <rFont val="Tahoma"/>
            <family val="2"/>
          </rPr>
          <t xml:space="preserve">
Based on Microway quote #MWYQ22129-01 of 7-Jun-2017 used for G.Gor purchase. +380 shipping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>KJW:</t>
        </r>
        <r>
          <rPr>
            <sz val="9"/>
            <color indexed="81"/>
            <rFont val="Tahoma"/>
            <family val="2"/>
          </rPr>
          <t xml:space="preserve">
Each unit has 4 nodes of 2 CPUs of 10 cores, hence 80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KJW:</t>
        </r>
        <r>
          <rPr>
            <sz val="9"/>
            <color indexed="81"/>
            <rFont val="Tahoma"/>
            <family val="2"/>
          </rPr>
          <t xml:space="preserve">
Based on Microway quote MWYQ22563-01 of 29-Aug-2017 used for Data Science (U.Roshan) purchase +shipping +IB-card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>KJW:</t>
        </r>
        <r>
          <rPr>
            <sz val="9"/>
            <color indexed="81"/>
            <rFont val="Tahoma"/>
            <family val="2"/>
          </rPr>
          <t xml:space="preserve">
Each node contains two Nvidia Tesla Pascal100 GPUs, each w/ 3584 cores</t>
        </r>
      </text>
    </comment>
    <comment ref="M13" authorId="1" shapeId="0">
      <text>
        <r>
          <rPr>
            <b/>
            <sz val="9"/>
            <color indexed="81"/>
            <rFont val="Tahoma"/>
            <family val="2"/>
          </rPr>
          <t xml:space="preserve">KJW: </t>
        </r>
        <r>
          <rPr>
            <sz val="9"/>
            <color indexed="81"/>
            <rFont val="Tahoma"/>
            <family val="2"/>
          </rPr>
          <t>From PFS quote document of 12-Mar-2016 document, 100TB device w/ 78TB usable</t>
        </r>
      </text>
    </comment>
    <comment ref="M14" authorId="0" shapeId="0">
      <text>
        <r>
          <rPr>
            <b/>
            <sz val="9"/>
            <color indexed="81"/>
            <rFont val="Tahoma"/>
            <family val="2"/>
          </rPr>
          <t>KJW:</t>
        </r>
        <r>
          <rPr>
            <sz val="9"/>
            <color indexed="81"/>
            <rFont val="Tahoma"/>
            <family val="2"/>
          </rPr>
          <t xml:space="preserve">
$0.25 per GB per year tier 2 storage + $0.14 per year per GB backup as per https://wiki.hpc.arcs.njit.edu/index.php/DiskAndBackupCost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KJW:</t>
        </r>
        <r>
          <rPr>
            <sz val="9"/>
            <color indexed="81"/>
            <rFont val="Tahoma"/>
            <family val="2"/>
          </rPr>
          <t xml:space="preserve">
$0.25 per GB per year tier 2 storage as per https://wiki.hpc.arcs.njit.edu/index.php/DiskAndBackupCost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KJW:</t>
        </r>
        <r>
          <rPr>
            <sz val="9"/>
            <color indexed="81"/>
            <rFont val="Tahoma"/>
            <family val="2"/>
          </rPr>
          <t xml:space="preserve">
Based on Microway quote #MWYQ22052-03 of 26-May-2017 and CDW quote #HZVN240 of 13-Jun-2017, eventually used for G.Gor purchase
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</rPr>
          <t>KJW:</t>
        </r>
        <r>
          <rPr>
            <sz val="9"/>
            <color indexed="81"/>
            <rFont val="Tahoma"/>
            <family val="2"/>
          </rPr>
          <t xml:space="preserve">
36 of 42 U usable because IB switch has 36 ports</t>
        </r>
      </text>
    </comment>
  </commentList>
</comments>
</file>

<file path=xl/sharedStrings.xml><?xml version="1.0" encoding="utf-8"?>
<sst xmlns="http://schemas.openxmlformats.org/spreadsheetml/2006/main" count="31" uniqueCount="28">
  <si>
    <t>High Performance Computing On-Site Seven Year Expansion Cost Projection</t>
  </si>
  <si>
    <t>Item</t>
  </si>
  <si>
    <t>Base</t>
  </si>
  <si>
    <t>Rack w/ switches &amp; PDU</t>
  </si>
  <si>
    <t>Parallel Filesystem, TB</t>
  </si>
  <si>
    <t>Tier 2 storage w/ backup, TB</t>
  </si>
  <si>
    <t>Tier 2 storage w/out backup, TB</t>
  </si>
  <si>
    <t>CPU Cores</t>
  </si>
  <si>
    <t>GPU Cores</t>
  </si>
  <si>
    <t>Today</t>
  </si>
  <si>
    <t>Units</t>
  </si>
  <si>
    <t>n/a</t>
  </si>
  <si>
    <t>Total</t>
  </si>
  <si>
    <t xml:space="preserve">CPU cores </t>
  </si>
  <si>
    <t>GPU cores</t>
  </si>
  <si>
    <t xml:space="preserve">Rack U </t>
  </si>
  <si>
    <t>CPU node U count for rack</t>
  </si>
  <si>
    <t>CPU node "count"</t>
  </si>
  <si>
    <t>GPU node "count"</t>
  </si>
  <si>
    <t>GPU node U "count" for rack</t>
  </si>
  <si>
    <t>Total U "count" for rack</t>
  </si>
  <si>
    <t>Total racks required</t>
  </si>
  <si>
    <t>Total U "count" running total</t>
  </si>
  <si>
    <t>Racks to purchase in year</t>
  </si>
  <si>
    <t>Racks on hand</t>
  </si>
  <si>
    <t>Corresponding item hardware</t>
  </si>
  <si>
    <t>Growth % per year</t>
  </si>
  <si>
    <t xml:space="preserve">Yearly allocation over seven years: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</si>
</sst>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&quot;$&quot;#,##0.00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0" fillId="0" borderId="5" xfId="0" applyNumberFormat="1" applyBorder="1"/>
    <xf numFmtId="0" fontId="2" fillId="0" borderId="7" xfId="0" applyFont="1" applyBorder="1"/>
    <xf numFmtId="0" fontId="0" fillId="0" borderId="9" xfId="0" applyBorder="1"/>
    <xf numFmtId="1" fontId="0" fillId="0" borderId="10" xfId="0" applyNumberFormat="1" applyBorder="1"/>
    <xf numFmtId="0" fontId="0" fillId="0" borderId="11" xfId="0" applyBorder="1"/>
    <xf numFmtId="1" fontId="0" fillId="0" borderId="12" xfId="0" applyNumberFormat="1" applyBorder="1"/>
    <xf numFmtId="1" fontId="0" fillId="0" borderId="13" xfId="0" applyNumberFormat="1" applyBorder="1"/>
    <xf numFmtId="164" fontId="0" fillId="0" borderId="5" xfId="0" applyNumberFormat="1" applyBorder="1"/>
    <xf numFmtId="0" fontId="2" fillId="0" borderId="8" xfId="0" applyFont="1" applyBorder="1" applyAlignment="1">
      <alignment horizontal="right"/>
    </xf>
    <xf numFmtId="164" fontId="6" fillId="0" borderId="10" xfId="0" applyNumberFormat="1" applyFont="1" applyBorder="1"/>
    <xf numFmtId="164" fontId="0" fillId="0" borderId="12" xfId="0" applyNumberFormat="1" applyBorder="1"/>
    <xf numFmtId="164" fontId="6" fillId="0" borderId="13" xfId="0" applyNumberFormat="1" applyFont="1" applyBorder="1"/>
    <xf numFmtId="164" fontId="2" fillId="0" borderId="1" xfId="0" applyNumberFormat="1" applyFont="1" applyBorder="1"/>
    <xf numFmtId="164" fontId="5" fillId="0" borderId="1" xfId="0" applyNumberFormat="1" applyFont="1" applyBorder="1"/>
    <xf numFmtId="0" fontId="2" fillId="0" borderId="6" xfId="0" applyFont="1" applyBorder="1"/>
    <xf numFmtId="0" fontId="0" fillId="0" borderId="9" xfId="0" applyBorder="1"/>
    <xf numFmtId="0" fontId="0" fillId="0" borderId="11" xfId="0" applyBorder="1"/>
    <xf numFmtId="0" fontId="0" fillId="0" borderId="5" xfId="0" applyBorder="1"/>
    <xf numFmtId="0" fontId="2" fillId="0" borderId="7" xfId="0" applyFont="1" applyBorder="1"/>
    <xf numFmtId="0" fontId="0" fillId="0" borderId="12" xfId="0" applyBorder="1"/>
    <xf numFmtId="166" fontId="0" fillId="0" borderId="0" xfId="0" applyNumberFormat="1"/>
    <xf numFmtId="0" fontId="7" fillId="0" borderId="5" xfId="0" applyFont="1" applyBorder="1"/>
    <xf numFmtId="166" fontId="7" fillId="0" borderId="5" xfId="0" applyNumberFormat="1" applyFont="1" applyBorder="1"/>
    <xf numFmtId="0" fontId="8" fillId="0" borderId="5" xfId="0" applyFont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164" fontId="7" fillId="0" borderId="5" xfId="0" applyNumberFormat="1" applyFont="1" applyBorder="1"/>
    <xf numFmtId="165" fontId="7" fillId="0" borderId="5" xfId="0" applyNumberFormat="1" applyFont="1" applyBorder="1"/>
    <xf numFmtId="165" fontId="7" fillId="0" borderId="5" xfId="1" applyNumberFormat="1" applyFont="1" applyFill="1" applyBorder="1"/>
    <xf numFmtId="0" fontId="7" fillId="0" borderId="5" xfId="0" applyFont="1" applyBorder="1" applyAlignment="1">
      <alignment horizontal="right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M1" sqref="M1:O1048576"/>
    </sheetView>
  </sheetViews>
  <sheetFormatPr defaultRowHeight="14.4" x14ac:dyDescent="0.3"/>
  <cols>
    <col min="1" max="1" width="27.109375" customWidth="1"/>
    <col min="2" max="2" width="9.109375" customWidth="1"/>
    <col min="3" max="3" width="6.88671875" customWidth="1"/>
    <col min="4" max="4" width="8.33203125" customWidth="1"/>
    <col min="5" max="5" width="9" customWidth="1"/>
    <col min="6" max="6" width="8.77734375" customWidth="1"/>
    <col min="9" max="9" width="10.6640625" customWidth="1"/>
    <col min="10" max="10" width="9.88671875" customWidth="1"/>
    <col min="11" max="11" width="10.88671875" customWidth="1"/>
    <col min="12" max="12" width="12.77734375" customWidth="1"/>
    <col min="13" max="13" width="11" hidden="1" customWidth="1"/>
    <col min="14" max="14" width="10.77734375" hidden="1" customWidth="1"/>
    <col min="15" max="15" width="8.88671875" hidden="1" customWidth="1"/>
  </cols>
  <sheetData>
    <row r="1" spans="1:15" ht="15" thickBot="1" x14ac:dyDescent="0.3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4"/>
    </row>
    <row r="2" spans="1:15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5" ht="28.8" x14ac:dyDescent="0.3">
      <c r="A3" s="34" t="s">
        <v>1</v>
      </c>
      <c r="B3" s="35" t="s">
        <v>26</v>
      </c>
      <c r="C3" s="36" t="s">
        <v>9</v>
      </c>
      <c r="D3" s="37">
        <v>2018</v>
      </c>
      <c r="E3" s="37">
        <v>2019</v>
      </c>
      <c r="F3" s="37">
        <v>2020</v>
      </c>
      <c r="G3" s="37">
        <v>2021</v>
      </c>
      <c r="H3" s="37">
        <v>2022</v>
      </c>
      <c r="I3" s="37">
        <v>2023</v>
      </c>
      <c r="J3" s="38">
        <v>2024</v>
      </c>
    </row>
    <row r="4" spans="1:15" x14ac:dyDescent="0.3">
      <c r="A4" s="7" t="s">
        <v>7</v>
      </c>
      <c r="B4" s="5">
        <v>15</v>
      </c>
      <c r="C4" s="5">
        <v>3448</v>
      </c>
      <c r="D4" s="5">
        <f>C4+(C4*$B4/100)</f>
        <v>3965.2</v>
      </c>
      <c r="E4" s="5">
        <f t="shared" ref="E4:J4" si="0">D4+(D4*$B4/100)</f>
        <v>4559.9799999999996</v>
      </c>
      <c r="F4" s="5">
        <f t="shared" si="0"/>
        <v>5243.9769999999999</v>
      </c>
      <c r="G4" s="5">
        <f t="shared" si="0"/>
        <v>6030.5735500000001</v>
      </c>
      <c r="H4" s="5">
        <f t="shared" si="0"/>
        <v>6935.1595825000004</v>
      </c>
      <c r="I4" s="5">
        <f t="shared" si="0"/>
        <v>7975.4335198750005</v>
      </c>
      <c r="J4" s="8">
        <f t="shared" si="0"/>
        <v>9171.7485478562503</v>
      </c>
    </row>
    <row r="5" spans="1:15" x14ac:dyDescent="0.3">
      <c r="A5" s="7" t="s">
        <v>8</v>
      </c>
      <c r="B5" s="5">
        <v>20</v>
      </c>
      <c r="C5" s="5">
        <v>61912</v>
      </c>
      <c r="D5" s="5">
        <f>C5+(C5*$B5/100)</f>
        <v>74294.399999999994</v>
      </c>
      <c r="E5" s="5">
        <f>D5+(D5*$B5/100)</f>
        <v>89153.279999999999</v>
      </c>
      <c r="F5" s="5">
        <f>E5+(E5*$B5/100)</f>
        <v>106983.936</v>
      </c>
      <c r="G5" s="5">
        <f>F5+(F5*$B5/100)</f>
        <v>128380.72320000001</v>
      </c>
      <c r="H5" s="5">
        <f>G5+(G5*$B5/100)</f>
        <v>154056.86784000002</v>
      </c>
      <c r="I5" s="5">
        <f>H5+(H5*$B5/100)</f>
        <v>184868.24140800003</v>
      </c>
      <c r="J5" s="8">
        <f>I5+(I5*$B5/100)</f>
        <v>221841.88968960004</v>
      </c>
    </row>
    <row r="6" spans="1:15" x14ac:dyDescent="0.3">
      <c r="A6" s="7" t="s">
        <v>4</v>
      </c>
      <c r="B6" s="5">
        <v>10</v>
      </c>
      <c r="C6" s="5">
        <v>0</v>
      </c>
      <c r="D6" s="5">
        <v>100</v>
      </c>
      <c r="E6" s="5">
        <f>D6+(D6*$B6/100)</f>
        <v>110</v>
      </c>
      <c r="F6" s="5">
        <f t="shared" ref="F6:J6" si="1">E6+(E6*$B6/100)</f>
        <v>121</v>
      </c>
      <c r="G6" s="5">
        <f t="shared" si="1"/>
        <v>133.1</v>
      </c>
      <c r="H6" s="5">
        <f t="shared" si="1"/>
        <v>146.41</v>
      </c>
      <c r="I6" s="5">
        <f t="shared" si="1"/>
        <v>161.05099999999999</v>
      </c>
      <c r="J6" s="8">
        <f t="shared" si="1"/>
        <v>177.15609999999998</v>
      </c>
    </row>
    <row r="7" spans="1:15" x14ac:dyDescent="0.3">
      <c r="A7" s="7" t="s">
        <v>5</v>
      </c>
      <c r="B7" s="5">
        <v>20</v>
      </c>
      <c r="C7" s="5">
        <v>53.5</v>
      </c>
      <c r="D7" s="5">
        <f>C7+(C7*$B7/100)</f>
        <v>64.2</v>
      </c>
      <c r="E7" s="5">
        <f>D7+(D7*$B7/100)</f>
        <v>77.040000000000006</v>
      </c>
      <c r="F7" s="5">
        <f>E7+(E7*$B7/100)</f>
        <v>92.448000000000008</v>
      </c>
      <c r="G7" s="5">
        <f>F7+(F7*$B7/100)</f>
        <v>110.9376</v>
      </c>
      <c r="H7" s="5">
        <f>G7+(G7*$B7/100)</f>
        <v>133.12512000000001</v>
      </c>
      <c r="I7" s="5">
        <f>H7+(H7*$B7/100)</f>
        <v>159.75014400000001</v>
      </c>
      <c r="J7" s="8">
        <f>I7+(I7*$B7/100)</f>
        <v>191.70017280000002</v>
      </c>
    </row>
    <row r="8" spans="1:15" ht="15" thickBot="1" x14ac:dyDescent="0.35">
      <c r="A8" s="9" t="s">
        <v>6</v>
      </c>
      <c r="B8" s="10">
        <v>5</v>
      </c>
      <c r="C8" s="10">
        <v>10</v>
      </c>
      <c r="D8" s="10">
        <f>C8+(C8*$B8/100)</f>
        <v>10.5</v>
      </c>
      <c r="E8" s="10">
        <f>D8+(D8*$B8/100)</f>
        <v>11.025</v>
      </c>
      <c r="F8" s="10">
        <f>E8+(E8*$B8/100)</f>
        <v>11.57625</v>
      </c>
      <c r="G8" s="10">
        <f>F8+(F8*$B8/100)</f>
        <v>12.1550625</v>
      </c>
      <c r="H8" s="10">
        <f>G8+(G8*$B8/100)</f>
        <v>12.762815625</v>
      </c>
      <c r="I8" s="10">
        <f>H8+(H8*$B8/100)</f>
        <v>13.40095640625</v>
      </c>
      <c r="J8" s="11">
        <f>I8+(I8*$B8/100)</f>
        <v>14.071004226562501</v>
      </c>
    </row>
    <row r="9" spans="1:15" ht="15" thickBot="1" x14ac:dyDescent="0.35"/>
    <row r="10" spans="1:15" x14ac:dyDescent="0.3">
      <c r="A10" s="19" t="s">
        <v>25</v>
      </c>
      <c r="B10" s="23"/>
      <c r="C10" s="23"/>
      <c r="D10" s="6">
        <v>2018</v>
      </c>
      <c r="E10" s="6">
        <v>2019</v>
      </c>
      <c r="F10" s="6">
        <v>2020</v>
      </c>
      <c r="G10" s="6">
        <v>2021</v>
      </c>
      <c r="H10" s="6">
        <v>2022</v>
      </c>
      <c r="I10" s="6">
        <v>2023</v>
      </c>
      <c r="J10" s="6">
        <v>2024</v>
      </c>
      <c r="K10" s="13" t="s">
        <v>12</v>
      </c>
      <c r="M10" s="28" t="s">
        <v>2</v>
      </c>
      <c r="N10" s="28" t="s">
        <v>10</v>
      </c>
      <c r="O10" s="29" t="s">
        <v>15</v>
      </c>
    </row>
    <row r="11" spans="1:15" x14ac:dyDescent="0.3">
      <c r="A11" s="20" t="s">
        <v>13</v>
      </c>
      <c r="B11" s="22"/>
      <c r="C11" s="22"/>
      <c r="D11" s="12">
        <f>(D4-C4)*$M11/$N11</f>
        <v>153188.17499999996</v>
      </c>
      <c r="E11" s="12">
        <f>(E4-D4)*$M11/$N11</f>
        <v>176166.40124999994</v>
      </c>
      <c r="F11" s="12">
        <f>(F4-E4)*$M11/$N11</f>
        <v>202591.36143750008</v>
      </c>
      <c r="G11" s="12">
        <f>(G4-F4)*$M11/$N11</f>
        <v>232980.06565312506</v>
      </c>
      <c r="H11" s="12">
        <f>(H4-G4)*$M11/$N11</f>
        <v>267927.07550109382</v>
      </c>
      <c r="I11" s="12">
        <f>(I4-H4)*$M11/$N11</f>
        <v>308116.1368262578</v>
      </c>
      <c r="J11" s="12">
        <f>(J4-I4)*$M11/$N11</f>
        <v>354333.55735019647</v>
      </c>
      <c r="K11" s="14">
        <f t="shared" ref="K11:K15" si="2">SUM(D11:J11)</f>
        <v>1695302.7730181729</v>
      </c>
      <c r="M11" s="30">
        <f>23315+380</f>
        <v>23695</v>
      </c>
      <c r="N11" s="26">
        <v>80</v>
      </c>
      <c r="O11" s="26">
        <v>4</v>
      </c>
    </row>
    <row r="12" spans="1:15" x14ac:dyDescent="0.3">
      <c r="A12" s="20" t="s">
        <v>14</v>
      </c>
      <c r="B12" s="22"/>
      <c r="C12" s="22"/>
      <c r="D12" s="12">
        <f>(D5-C5)*$M12/$N12</f>
        <v>29116.260044642844</v>
      </c>
      <c r="E12" s="12">
        <f>(E5-D5)*$M12/$N12</f>
        <v>34939.512053571438</v>
      </c>
      <c r="F12" s="12">
        <f>(F5-E5)*$M12/$N12</f>
        <v>41927.414464285721</v>
      </c>
      <c r="G12" s="12">
        <f>(G5-F5)*$M12/$N12</f>
        <v>50312.897357142872</v>
      </c>
      <c r="H12" s="12">
        <f>(H5-G5)*$M12/$N12</f>
        <v>60375.47682857146</v>
      </c>
      <c r="I12" s="12">
        <f>(I5-H5)*$M12/$N12</f>
        <v>72450.572194285734</v>
      </c>
      <c r="J12" s="12">
        <f>(J5-I5)*$M12/$N12</f>
        <v>86940.686633142876</v>
      </c>
      <c r="K12" s="14">
        <f t="shared" si="2"/>
        <v>376062.81957564293</v>
      </c>
      <c r="M12" s="30">
        <f>16425+280+150</f>
        <v>16855</v>
      </c>
      <c r="N12" s="26">
        <f>3584*2</f>
        <v>7168</v>
      </c>
      <c r="O12" s="26">
        <v>1</v>
      </c>
    </row>
    <row r="13" spans="1:15" x14ac:dyDescent="0.3">
      <c r="A13" s="20" t="s">
        <v>4</v>
      </c>
      <c r="B13" s="22"/>
      <c r="C13" s="22"/>
      <c r="D13" s="12">
        <f>(D6-C6)*$M13/$N13</f>
        <v>123000</v>
      </c>
      <c r="E13" s="12">
        <f>(E6-D6)*$M13/$N13</f>
        <v>12300</v>
      </c>
      <c r="F13" s="12">
        <f>(F6-E6)*$M13/$N13</f>
        <v>13530</v>
      </c>
      <c r="G13" s="12">
        <f>(G6-F6)*$M13/$N13</f>
        <v>14882.999999999993</v>
      </c>
      <c r="H13" s="12">
        <f>(H6-G6)*$M13/$N13</f>
        <v>16371.300000000003</v>
      </c>
      <c r="I13" s="12">
        <f>(I6-H6)*$M13/$N13</f>
        <v>18008.429999999989</v>
      </c>
      <c r="J13" s="12">
        <f>(J6-I6)*$M13/$N13</f>
        <v>19809.27299999999</v>
      </c>
      <c r="K13" s="14">
        <f t="shared" si="2"/>
        <v>217902.00299999997</v>
      </c>
      <c r="M13" s="31">
        <v>123000</v>
      </c>
      <c r="N13" s="26">
        <f>100</f>
        <v>100</v>
      </c>
      <c r="O13" s="26"/>
    </row>
    <row r="14" spans="1:15" x14ac:dyDescent="0.3">
      <c r="A14" s="20" t="s">
        <v>5</v>
      </c>
      <c r="B14" s="22"/>
      <c r="C14" s="22"/>
      <c r="D14" s="12">
        <f>D7*$M$14/$N$14</f>
        <v>25638.912</v>
      </c>
      <c r="E14" s="12">
        <f>E7*$M$14/$N$14</f>
        <v>30766.694400000004</v>
      </c>
      <c r="F14" s="12">
        <f>F7*$M$14/$N$14</f>
        <v>36920.033280000003</v>
      </c>
      <c r="G14" s="12">
        <f>G7*$M$14/$N$14</f>
        <v>44304.039936000001</v>
      </c>
      <c r="H14" s="12">
        <f>H7*$M$14/$N$14</f>
        <v>53164.847923200003</v>
      </c>
      <c r="I14" s="12">
        <f>I7*$M$14/$N$14</f>
        <v>63797.817507840002</v>
      </c>
      <c r="J14" s="12">
        <f>J7*$M$14/$N$14</f>
        <v>76557.381009408011</v>
      </c>
      <c r="K14" s="14">
        <f t="shared" si="2"/>
        <v>331149.72605644801</v>
      </c>
      <c r="M14" s="32">
        <f>(0.25+0.14)*1024</f>
        <v>399.36</v>
      </c>
      <c r="N14" s="26">
        <v>1</v>
      </c>
      <c r="O14" s="26"/>
    </row>
    <row r="15" spans="1:15" x14ac:dyDescent="0.3">
      <c r="A15" s="20" t="s">
        <v>6</v>
      </c>
      <c r="B15" s="22"/>
      <c r="C15" s="22"/>
      <c r="D15" s="12">
        <f>D8*$M$15/$N$15</f>
        <v>2688</v>
      </c>
      <c r="E15" s="12">
        <f>E8*$M$15/$N$15</f>
        <v>2822.4</v>
      </c>
      <c r="F15" s="12">
        <f>F8*$M$15/$N$15</f>
        <v>2963.52</v>
      </c>
      <c r="G15" s="12">
        <f>G8*$M$15/$N$15</f>
        <v>3111.6959999999999</v>
      </c>
      <c r="H15" s="12">
        <f>H8*$M$15/$N$15</f>
        <v>3267.2808</v>
      </c>
      <c r="I15" s="12">
        <f>I8*$M$15/$N$15</f>
        <v>3430.6448399999999</v>
      </c>
      <c r="J15" s="12">
        <f>J8*$M$15/$N$15</f>
        <v>3602.1770820000002</v>
      </c>
      <c r="K15" s="14">
        <f t="shared" si="2"/>
        <v>21885.718721999998</v>
      </c>
      <c r="M15" s="32">
        <f>0.25*1024</f>
        <v>256</v>
      </c>
      <c r="N15" s="26">
        <v>1</v>
      </c>
      <c r="O15" s="26"/>
    </row>
    <row r="16" spans="1:15" ht="15" thickBot="1" x14ac:dyDescent="0.35">
      <c r="A16" s="21" t="s">
        <v>3</v>
      </c>
      <c r="B16" s="24"/>
      <c r="C16" s="24"/>
      <c r="D16" s="15">
        <f>$M$16*D29</f>
        <v>14443</v>
      </c>
      <c r="E16" s="15">
        <f>$M$16*E29</f>
        <v>14443</v>
      </c>
      <c r="F16" s="15">
        <f>$M$16*F29</f>
        <v>14443</v>
      </c>
      <c r="G16" s="15">
        <f>$M$16*G29</f>
        <v>14443</v>
      </c>
      <c r="H16" s="15">
        <f>$M$16*H29</f>
        <v>0</v>
      </c>
      <c r="I16" s="15">
        <f>$M$16*I29</f>
        <v>14443</v>
      </c>
      <c r="J16" s="15">
        <f>$M$16*J29</f>
        <v>0</v>
      </c>
      <c r="K16" s="16">
        <f>SUM(D16:J16)</f>
        <v>72215</v>
      </c>
      <c r="M16" s="32">
        <f>11365+3078</f>
        <v>14443</v>
      </c>
      <c r="N16" s="33" t="s">
        <v>11</v>
      </c>
      <c r="O16" s="33">
        <v>36</v>
      </c>
    </row>
    <row r="17" spans="1:11" ht="15" thickBot="1" x14ac:dyDescent="0.35">
      <c r="D17" s="17">
        <f>SUM(D11:D16)</f>
        <v>348074.34704464278</v>
      </c>
      <c r="E17" s="17">
        <f>SUM(E11:E16)</f>
        <v>271438.00770357135</v>
      </c>
      <c r="F17" s="17">
        <f>SUM(F11:F16)</f>
        <v>312375.32918178581</v>
      </c>
      <c r="G17" s="17">
        <f>SUM(G11:G16)</f>
        <v>360034.69894626795</v>
      </c>
      <c r="H17" s="17">
        <f>SUM(H11:H16)</f>
        <v>401105.98105286527</v>
      </c>
      <c r="I17" s="17">
        <f>SUM(I11:I16)</f>
        <v>480246.60136838356</v>
      </c>
      <c r="J17" s="17">
        <f>SUM(J11:J16)</f>
        <v>541243.07507474732</v>
      </c>
      <c r="K17" s="18">
        <f>SUM(D17:J17)</f>
        <v>2714518.0403722641</v>
      </c>
    </row>
    <row r="19" spans="1:11" x14ac:dyDescent="0.3">
      <c r="F19" s="39" t="s">
        <v>27</v>
      </c>
      <c r="G19" s="39"/>
      <c r="H19" s="39"/>
      <c r="I19" s="39"/>
      <c r="J19" s="39"/>
      <c r="K19" s="40">
        <f>K17/7</f>
        <v>387788.29148175201</v>
      </c>
    </row>
    <row r="21" spans="1:11" hidden="1" x14ac:dyDescent="0.3">
      <c r="A21" s="26" t="s">
        <v>17</v>
      </c>
      <c r="B21" s="26"/>
      <c r="C21" s="26"/>
      <c r="D21" s="27">
        <f>((D4-C4)/$N11)</f>
        <v>6.4649999999999981</v>
      </c>
      <c r="E21" s="27">
        <f>((E4-D4)/$N11)</f>
        <v>7.4347499999999966</v>
      </c>
      <c r="F21" s="27">
        <f>((F4-E4)/$N11)</f>
        <v>8.549962500000003</v>
      </c>
      <c r="G21" s="27">
        <f>((G4-F4)/$N11)</f>
        <v>9.8324568750000019</v>
      </c>
      <c r="H21" s="27">
        <f>((H4-G4)/$N11)</f>
        <v>11.307325406250005</v>
      </c>
      <c r="I21" s="27">
        <f>((I4-H4)/$N11)</f>
        <v>13.003424217187501</v>
      </c>
      <c r="J21" s="27">
        <f>((J4-I4)/$N11)</f>
        <v>14.953937849765623</v>
      </c>
      <c r="K21" s="25"/>
    </row>
    <row r="22" spans="1:11" hidden="1" x14ac:dyDescent="0.3">
      <c r="A22" s="26" t="s">
        <v>16</v>
      </c>
      <c r="B22" s="26"/>
      <c r="C22" s="26"/>
      <c r="D22" s="27">
        <f>D21*$O$11</f>
        <v>25.859999999999992</v>
      </c>
      <c r="E22" s="27">
        <f>E21*$O$11</f>
        <v>29.738999999999987</v>
      </c>
      <c r="F22" s="27">
        <f>F21*$O$11</f>
        <v>34.199850000000012</v>
      </c>
      <c r="G22" s="27">
        <f>G21*$O$11</f>
        <v>39.329827500000007</v>
      </c>
      <c r="H22" s="27">
        <f>H21*$O$11</f>
        <v>45.229301625000019</v>
      </c>
      <c r="I22" s="27">
        <f>I21*$O$11</f>
        <v>52.013696868750003</v>
      </c>
      <c r="J22" s="27">
        <f>J21*$O$11</f>
        <v>59.815751399062492</v>
      </c>
      <c r="K22" s="25"/>
    </row>
    <row r="23" spans="1:11" hidden="1" x14ac:dyDescent="0.3">
      <c r="A23" s="26" t="s">
        <v>18</v>
      </c>
      <c r="B23" s="26"/>
      <c r="C23" s="26"/>
      <c r="D23" s="27">
        <f>((D5-C5)/$N$12)</f>
        <v>1.7274553571428564</v>
      </c>
      <c r="E23" s="27">
        <f>((E5-D5)/$N$12)</f>
        <v>2.0729464285714294</v>
      </c>
      <c r="F23" s="27">
        <f>((F5-E5)/$N$12)</f>
        <v>2.4875357142857148</v>
      </c>
      <c r="G23" s="27">
        <f>((G5-F5)/$N$12)</f>
        <v>2.985042857142858</v>
      </c>
      <c r="H23" s="27">
        <f>((H5-G5)/$N$12)</f>
        <v>3.5820514285714302</v>
      </c>
      <c r="I23" s="27">
        <f>((I5-H5)/$N$12)</f>
        <v>4.2984617142857156</v>
      </c>
      <c r="J23" s="27">
        <f>((J5-I5)/$N$12)</f>
        <v>5.1581540571428581</v>
      </c>
      <c r="K23" s="25"/>
    </row>
    <row r="24" spans="1:11" hidden="1" x14ac:dyDescent="0.3">
      <c r="A24" s="26" t="s">
        <v>19</v>
      </c>
      <c r="B24" s="26"/>
      <c r="C24" s="26"/>
      <c r="D24" s="27">
        <f>D23*$O$12</f>
        <v>1.7274553571428564</v>
      </c>
      <c r="E24" s="27">
        <f>E23*$O$12</f>
        <v>2.0729464285714294</v>
      </c>
      <c r="F24" s="27">
        <f>F23*$O$12</f>
        <v>2.4875357142857148</v>
      </c>
      <c r="G24" s="27">
        <f>G23*$O$12</f>
        <v>2.985042857142858</v>
      </c>
      <c r="H24" s="27">
        <f>H23*$O$12</f>
        <v>3.5820514285714302</v>
      </c>
      <c r="I24" s="27">
        <f>I23*$O$12</f>
        <v>4.2984617142857156</v>
      </c>
      <c r="J24" s="27">
        <f>J23*$O$12</f>
        <v>5.1581540571428581</v>
      </c>
      <c r="K24" s="25"/>
    </row>
    <row r="25" spans="1:11" hidden="1" x14ac:dyDescent="0.3">
      <c r="A25" s="26" t="s">
        <v>20</v>
      </c>
      <c r="B25" s="26"/>
      <c r="C25" s="26"/>
      <c r="D25" s="27">
        <f>D22+D24</f>
        <v>27.587455357142847</v>
      </c>
      <c r="E25" s="27">
        <f>E22+E24</f>
        <v>31.811946428571417</v>
      </c>
      <c r="F25" s="27">
        <f>F22+F24</f>
        <v>36.687385714285725</v>
      </c>
      <c r="G25" s="27">
        <f>G22+G24</f>
        <v>42.314870357142865</v>
      </c>
      <c r="H25" s="27">
        <f>H22+H24</f>
        <v>48.811353053571452</v>
      </c>
      <c r="I25" s="27">
        <f>I22+I24</f>
        <v>56.312158583035718</v>
      </c>
      <c r="J25" s="27">
        <f>J22+J24</f>
        <v>64.973905456205344</v>
      </c>
      <c r="K25" s="25"/>
    </row>
    <row r="26" spans="1:11" hidden="1" x14ac:dyDescent="0.3">
      <c r="A26" s="26" t="s">
        <v>22</v>
      </c>
      <c r="B26" s="26"/>
      <c r="C26" s="26"/>
      <c r="D26" s="27">
        <f>D25</f>
        <v>27.587455357142847</v>
      </c>
      <c r="E26" s="27">
        <f>SUM(D25,E25)</f>
        <v>59.399401785714261</v>
      </c>
      <c r="F26" s="27">
        <f>SUM(D25:E25,F25)</f>
        <v>96.086787499999986</v>
      </c>
      <c r="G26" s="27">
        <f>SUM(E25:F25,G25)</f>
        <v>110.81420250000001</v>
      </c>
      <c r="H26" s="27">
        <f>SUM(F25:G25,H25)</f>
        <v>127.81360912500004</v>
      </c>
      <c r="I26" s="27">
        <f>SUM(G25:H25,I25)</f>
        <v>147.43838199375003</v>
      </c>
      <c r="J26" s="27">
        <f>SUM(H25:I25,J25)</f>
        <v>170.09741709281252</v>
      </c>
      <c r="K26" s="25"/>
    </row>
    <row r="27" spans="1:11" hidden="1" x14ac:dyDescent="0.3">
      <c r="A27" s="26" t="s">
        <v>21</v>
      </c>
      <c r="B27" s="26"/>
      <c r="C27" s="26"/>
      <c r="D27" s="26">
        <f>ROUNDUP((D26/$O$16),0)</f>
        <v>1</v>
      </c>
      <c r="E27" s="26">
        <f>ROUNDUP((E26/$O$16),0)</f>
        <v>2</v>
      </c>
      <c r="F27" s="26">
        <f>ROUNDUP((F26/$O$16),0)</f>
        <v>3</v>
      </c>
      <c r="G27" s="26">
        <f>ROUNDUP((G26/$O$16),0)</f>
        <v>4</v>
      </c>
      <c r="H27" s="26">
        <f>ROUNDUP((H26/$O$16),0)</f>
        <v>4</v>
      </c>
      <c r="I27" s="26">
        <f>ROUNDUP((I26/$O$16),0)</f>
        <v>5</v>
      </c>
      <c r="J27" s="26">
        <f>ROUNDUP((J26/$O$16),0)</f>
        <v>5</v>
      </c>
    </row>
    <row r="28" spans="1:11" hidden="1" x14ac:dyDescent="0.3">
      <c r="A28" s="26" t="s">
        <v>24</v>
      </c>
      <c r="B28" s="26"/>
      <c r="C28" s="26"/>
      <c r="D28" s="26">
        <v>0</v>
      </c>
      <c r="E28" s="26">
        <f>D29</f>
        <v>1</v>
      </c>
      <c r="F28" s="26">
        <f>E28+E29</f>
        <v>2</v>
      </c>
      <c r="G28" s="26">
        <f>F28+F29</f>
        <v>3</v>
      </c>
      <c r="H28" s="26">
        <f>G28+G29</f>
        <v>4</v>
      </c>
      <c r="I28" s="26">
        <f>H28+H29</f>
        <v>4</v>
      </c>
      <c r="J28" s="26">
        <f>I28+I29</f>
        <v>5</v>
      </c>
    </row>
    <row r="29" spans="1:11" hidden="1" x14ac:dyDescent="0.3">
      <c r="A29" s="26" t="s">
        <v>23</v>
      </c>
      <c r="B29" s="26"/>
      <c r="C29" s="26"/>
      <c r="D29" s="26">
        <f>D27-D28</f>
        <v>1</v>
      </c>
      <c r="E29" s="26">
        <f>E27-E28</f>
        <v>1</v>
      </c>
      <c r="F29" s="26">
        <f>F27-F28</f>
        <v>1</v>
      </c>
      <c r="G29" s="26">
        <f>G27-G28</f>
        <v>1</v>
      </c>
      <c r="H29" s="26">
        <f>H27-H28</f>
        <v>0</v>
      </c>
      <c r="I29" s="26">
        <f>I27-I28</f>
        <v>1</v>
      </c>
      <c r="J29" s="26">
        <f>J27-J28</f>
        <v>0</v>
      </c>
    </row>
  </sheetData>
  <mergeCells count="9">
    <mergeCell ref="A13:C13"/>
    <mergeCell ref="A14:C14"/>
    <mergeCell ref="A15:C15"/>
    <mergeCell ref="A16:C16"/>
    <mergeCell ref="F19:J19"/>
    <mergeCell ref="A1:K1"/>
    <mergeCell ref="A10:C10"/>
    <mergeCell ref="A11:C11"/>
    <mergeCell ref="A12:C12"/>
  </mergeCells>
  <pageMargins left="0.7" right="0.7" top="0.75" bottom="0.75" header="0.3" footer="0.3"/>
  <pageSetup orientation="landscape" r:id="rId1"/>
  <ignoredErrors>
    <ignoredError sqref="D27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NJIT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KJW</cp:lastModifiedBy>
  <cp:lastPrinted>2017-11-07T22:01:04Z</cp:lastPrinted>
  <dcterms:created xsi:type="dcterms:W3CDTF">2017-11-07T18:38:54Z</dcterms:created>
  <dcterms:modified xsi:type="dcterms:W3CDTF">2017-11-07T22:12:57Z</dcterms:modified>
</cp:coreProperties>
</file>