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web\wiki\hpcwiki\external\off-premise\"/>
    </mc:Choice>
  </mc:AlternateContent>
  <bookViews>
    <workbookView xWindow="0" yWindow="0" windowWidth="13800" windowHeight="4776"/>
  </bookViews>
  <sheets>
    <sheet name="Penguin estimates" sheetId="1" r:id="rId1"/>
    <sheet name="AWS estimates" sheetId="2" r:id="rId2"/>
    <sheet name="Azure estimates" sheetId="6" r:id="rId3"/>
    <sheet name="NJIT costs" sheetId="3" r:id="rId4"/>
    <sheet name="NJIT storage" sheetId="4" r:id="rId5"/>
    <sheet name="NJIT usage" sheetId="5" r:id="rId6"/>
  </sheets>
  <calcPr calcId="162913"/>
</workbook>
</file>

<file path=xl/calcChain.xml><?xml version="1.0" encoding="utf-8"?>
<calcChain xmlns="http://schemas.openxmlformats.org/spreadsheetml/2006/main">
  <c r="W10" i="1" l="1"/>
  <c r="W9" i="1"/>
  <c r="W8" i="1"/>
  <c r="W7" i="1"/>
  <c r="W6" i="1"/>
  <c r="W13" i="1" s="1"/>
  <c r="W15" i="1" s="1"/>
  <c r="W5" i="1"/>
  <c r="X14" i="1"/>
  <c r="X21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5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U18" i="6"/>
  <c r="U16" i="6"/>
  <c r="U6" i="6"/>
  <c r="U10" i="6"/>
  <c r="T18" i="6"/>
  <c r="T16" i="6"/>
  <c r="T10" i="6"/>
  <c r="T6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W20" i="6" l="1"/>
  <c r="W22" i="6" s="1"/>
  <c r="V20" i="6"/>
  <c r="V22" i="6" s="1"/>
  <c r="T20" i="6"/>
  <c r="T22" i="6" s="1"/>
  <c r="N20" i="6"/>
  <c r="N22" i="6" s="1"/>
  <c r="J21" i="6"/>
  <c r="G21" i="6"/>
  <c r="D21" i="6"/>
  <c r="H19" i="6"/>
  <c r="F19" i="6"/>
  <c r="G19" i="6" s="1"/>
  <c r="E19" i="6"/>
  <c r="C20" i="6"/>
  <c r="D19" i="6"/>
  <c r="D18" i="6"/>
  <c r="G18" i="6" s="1"/>
  <c r="J18" i="6" s="1"/>
  <c r="D17" i="6"/>
  <c r="G17" i="6" s="1"/>
  <c r="J17" i="6" s="1"/>
  <c r="D16" i="6"/>
  <c r="G16" i="6" s="1"/>
  <c r="J16" i="6" s="1"/>
  <c r="D15" i="6"/>
  <c r="G15" i="6" s="1"/>
  <c r="J15" i="6" s="1"/>
  <c r="D14" i="6"/>
  <c r="G14" i="6" s="1"/>
  <c r="J14" i="6" s="1"/>
  <c r="D13" i="6"/>
  <c r="G13" i="6" s="1"/>
  <c r="J13" i="6" s="1"/>
  <c r="D12" i="6"/>
  <c r="G12" i="6" s="1"/>
  <c r="J12" i="6" s="1"/>
  <c r="D11" i="6"/>
  <c r="G11" i="6" s="1"/>
  <c r="J11" i="6" s="1"/>
  <c r="D10" i="6"/>
  <c r="G10" i="6" s="1"/>
  <c r="J10" i="6" s="1"/>
  <c r="D9" i="6"/>
  <c r="G9" i="6" s="1"/>
  <c r="J9" i="6" s="1"/>
  <c r="D8" i="6"/>
  <c r="G8" i="6" s="1"/>
  <c r="J8" i="6" s="1"/>
  <c r="D7" i="6"/>
  <c r="G7" i="6" s="1"/>
  <c r="J7" i="6" s="1"/>
  <c r="D6" i="6"/>
  <c r="G6" i="6" s="1"/>
  <c r="J6" i="6" s="1"/>
  <c r="D5" i="6"/>
  <c r="U12" i="6"/>
  <c r="I19" i="6" l="1"/>
  <c r="J19" i="6" s="1"/>
  <c r="D20" i="6"/>
  <c r="D22" i="6" s="1"/>
  <c r="G5" i="6"/>
  <c r="J5" i="6" s="1"/>
  <c r="U20" i="6"/>
  <c r="U22" i="6" s="1"/>
  <c r="X20" i="6" l="1"/>
  <c r="X22" i="6" s="1"/>
  <c r="G20" i="6"/>
  <c r="G22" i="6" s="1"/>
  <c r="J20" i="6"/>
  <c r="J22" i="6" s="1"/>
  <c r="F148" i="5"/>
  <c r="B22" i="1" s="1"/>
  <c r="E148" i="5"/>
  <c r="E149" i="5" s="1"/>
  <c r="D148" i="5"/>
  <c r="B20" i="1" s="1"/>
  <c r="K147" i="5"/>
  <c r="J147" i="5"/>
  <c r="I147" i="5"/>
  <c r="A147" i="5"/>
  <c r="K146" i="5"/>
  <c r="J146" i="5"/>
  <c r="I146" i="5"/>
  <c r="L146" i="5" s="1"/>
  <c r="A146" i="5"/>
  <c r="K145" i="5"/>
  <c r="J145" i="5"/>
  <c r="I145" i="5"/>
  <c r="L145" i="5" s="1"/>
  <c r="A145" i="5"/>
  <c r="K144" i="5"/>
  <c r="J144" i="5"/>
  <c r="I144" i="5"/>
  <c r="A144" i="5"/>
  <c r="K143" i="5"/>
  <c r="J143" i="5"/>
  <c r="I143" i="5"/>
  <c r="A143" i="5"/>
  <c r="K142" i="5"/>
  <c r="J142" i="5"/>
  <c r="I142" i="5"/>
  <c r="A142" i="5"/>
  <c r="K141" i="5"/>
  <c r="L141" i="5" s="1"/>
  <c r="J141" i="5"/>
  <c r="I141" i="5"/>
  <c r="A141" i="5"/>
  <c r="K140" i="5"/>
  <c r="J140" i="5"/>
  <c r="I140" i="5"/>
  <c r="A140" i="5"/>
  <c r="K139" i="5"/>
  <c r="J139" i="5"/>
  <c r="I139" i="5"/>
  <c r="A139" i="5"/>
  <c r="K138" i="5"/>
  <c r="J138" i="5"/>
  <c r="I138" i="5"/>
  <c r="A138" i="5"/>
  <c r="L137" i="5"/>
  <c r="K137" i="5"/>
  <c r="J137" i="5"/>
  <c r="I137" i="5"/>
  <c r="A137" i="5"/>
  <c r="K136" i="5"/>
  <c r="J136" i="5"/>
  <c r="I136" i="5"/>
  <c r="A136" i="5"/>
  <c r="K135" i="5"/>
  <c r="J135" i="5"/>
  <c r="I135" i="5"/>
  <c r="A135" i="5"/>
  <c r="K134" i="5"/>
  <c r="J134" i="5"/>
  <c r="I134" i="5"/>
  <c r="L134" i="5" s="1"/>
  <c r="A134" i="5"/>
  <c r="K133" i="5"/>
  <c r="J133" i="5"/>
  <c r="I133" i="5"/>
  <c r="L133" i="5" s="1"/>
  <c r="A133" i="5"/>
  <c r="K132" i="5"/>
  <c r="J132" i="5"/>
  <c r="I132" i="5"/>
  <c r="L132" i="5" s="1"/>
  <c r="A132" i="5"/>
  <c r="K131" i="5"/>
  <c r="J131" i="5"/>
  <c r="I131" i="5"/>
  <c r="A131" i="5"/>
  <c r="K130" i="5"/>
  <c r="J130" i="5"/>
  <c r="I130" i="5"/>
  <c r="L130" i="5" s="1"/>
  <c r="A130" i="5"/>
  <c r="K129" i="5"/>
  <c r="J129" i="5"/>
  <c r="I129" i="5"/>
  <c r="L129" i="5" s="1"/>
  <c r="A129" i="5"/>
  <c r="K128" i="5"/>
  <c r="J128" i="5"/>
  <c r="I128" i="5"/>
  <c r="A128" i="5"/>
  <c r="K127" i="5"/>
  <c r="J127" i="5"/>
  <c r="I127" i="5"/>
  <c r="A127" i="5"/>
  <c r="K126" i="5"/>
  <c r="J126" i="5"/>
  <c r="I126" i="5"/>
  <c r="A126" i="5"/>
  <c r="K125" i="5"/>
  <c r="L125" i="5" s="1"/>
  <c r="J125" i="5"/>
  <c r="I125" i="5"/>
  <c r="A125" i="5"/>
  <c r="K124" i="5"/>
  <c r="J124" i="5"/>
  <c r="I124" i="5"/>
  <c r="A124" i="5"/>
  <c r="K123" i="5"/>
  <c r="J123" i="5"/>
  <c r="I123" i="5"/>
  <c r="A123" i="5"/>
  <c r="K122" i="5"/>
  <c r="J122" i="5"/>
  <c r="I122" i="5"/>
  <c r="A122" i="5"/>
  <c r="L121" i="5"/>
  <c r="K121" i="5"/>
  <c r="J121" i="5"/>
  <c r="I121" i="5"/>
  <c r="A121" i="5"/>
  <c r="K120" i="5"/>
  <c r="J120" i="5"/>
  <c r="I120" i="5"/>
  <c r="L120" i="5" s="1"/>
  <c r="A120" i="5"/>
  <c r="K119" i="5"/>
  <c r="J119" i="5"/>
  <c r="I119" i="5"/>
  <c r="A119" i="5"/>
  <c r="K118" i="5"/>
  <c r="J118" i="5"/>
  <c r="I118" i="5"/>
  <c r="L118" i="5" s="1"/>
  <c r="A118" i="5"/>
  <c r="K117" i="5"/>
  <c r="J117" i="5"/>
  <c r="I117" i="5"/>
  <c r="L117" i="5" s="1"/>
  <c r="A117" i="5"/>
  <c r="K116" i="5"/>
  <c r="J116" i="5"/>
  <c r="I116" i="5"/>
  <c r="L116" i="5" s="1"/>
  <c r="A116" i="5"/>
  <c r="K115" i="5"/>
  <c r="J115" i="5"/>
  <c r="I115" i="5"/>
  <c r="A115" i="5"/>
  <c r="K114" i="5"/>
  <c r="J114" i="5"/>
  <c r="I114" i="5"/>
  <c r="L114" i="5" s="1"/>
  <c r="A114" i="5"/>
  <c r="K113" i="5"/>
  <c r="J113" i="5"/>
  <c r="I113" i="5"/>
  <c r="L113" i="5" s="1"/>
  <c r="A113" i="5"/>
  <c r="K112" i="5"/>
  <c r="J112" i="5"/>
  <c r="I112" i="5"/>
  <c r="A112" i="5"/>
  <c r="K111" i="5"/>
  <c r="J111" i="5"/>
  <c r="I111" i="5"/>
  <c r="A111" i="5"/>
  <c r="K110" i="5"/>
  <c r="J110" i="5"/>
  <c r="I110" i="5"/>
  <c r="A110" i="5"/>
  <c r="K109" i="5"/>
  <c r="L109" i="5" s="1"/>
  <c r="J109" i="5"/>
  <c r="I109" i="5"/>
  <c r="A109" i="5"/>
  <c r="K108" i="5"/>
  <c r="J108" i="5"/>
  <c r="I108" i="5"/>
  <c r="A108" i="5"/>
  <c r="K107" i="5"/>
  <c r="J107" i="5"/>
  <c r="I107" i="5"/>
  <c r="A107" i="5"/>
  <c r="K106" i="5"/>
  <c r="J106" i="5"/>
  <c r="I106" i="5"/>
  <c r="A106" i="5"/>
  <c r="L105" i="5"/>
  <c r="K105" i="5"/>
  <c r="J105" i="5"/>
  <c r="I105" i="5"/>
  <c r="A105" i="5"/>
  <c r="K104" i="5"/>
  <c r="J104" i="5"/>
  <c r="I104" i="5"/>
  <c r="L104" i="5" s="1"/>
  <c r="A104" i="5"/>
  <c r="K103" i="5"/>
  <c r="J103" i="5"/>
  <c r="I103" i="5"/>
  <c r="A103" i="5"/>
  <c r="K102" i="5"/>
  <c r="J102" i="5"/>
  <c r="I102" i="5"/>
  <c r="L102" i="5" s="1"/>
  <c r="A102" i="5"/>
  <c r="K101" i="5"/>
  <c r="J101" i="5"/>
  <c r="I101" i="5"/>
  <c r="L101" i="5" s="1"/>
  <c r="A101" i="5"/>
  <c r="K100" i="5"/>
  <c r="J100" i="5"/>
  <c r="I100" i="5"/>
  <c r="L100" i="5" s="1"/>
  <c r="A100" i="5"/>
  <c r="K99" i="5"/>
  <c r="J99" i="5"/>
  <c r="I99" i="5"/>
  <c r="A99" i="5"/>
  <c r="K98" i="5"/>
  <c r="J98" i="5"/>
  <c r="I98" i="5"/>
  <c r="L98" i="5" s="1"/>
  <c r="A98" i="5"/>
  <c r="K97" i="5"/>
  <c r="J97" i="5"/>
  <c r="I97" i="5"/>
  <c r="A97" i="5"/>
  <c r="K96" i="5"/>
  <c r="J96" i="5"/>
  <c r="I96" i="5"/>
  <c r="L96" i="5" s="1"/>
  <c r="A96" i="5"/>
  <c r="K95" i="5"/>
  <c r="J95" i="5"/>
  <c r="I95" i="5"/>
  <c r="L95" i="5" s="1"/>
  <c r="A95" i="5"/>
  <c r="K94" i="5"/>
  <c r="J94" i="5"/>
  <c r="I94" i="5"/>
  <c r="A94" i="5"/>
  <c r="K93" i="5"/>
  <c r="L93" i="5" s="1"/>
  <c r="J93" i="5"/>
  <c r="I93" i="5"/>
  <c r="A93" i="5"/>
  <c r="K92" i="5"/>
  <c r="J92" i="5"/>
  <c r="I92" i="5"/>
  <c r="A92" i="5"/>
  <c r="K91" i="5"/>
  <c r="J91" i="5"/>
  <c r="I91" i="5"/>
  <c r="A91" i="5"/>
  <c r="K90" i="5"/>
  <c r="L90" i="5" s="1"/>
  <c r="J90" i="5"/>
  <c r="I90" i="5"/>
  <c r="A90" i="5"/>
  <c r="L89" i="5"/>
  <c r="K89" i="5"/>
  <c r="J89" i="5"/>
  <c r="I89" i="5"/>
  <c r="A89" i="5"/>
  <c r="K88" i="5"/>
  <c r="J88" i="5"/>
  <c r="I88" i="5"/>
  <c r="A88" i="5"/>
  <c r="K87" i="5"/>
  <c r="J87" i="5"/>
  <c r="I87" i="5"/>
  <c r="A87" i="5"/>
  <c r="K86" i="5"/>
  <c r="J86" i="5"/>
  <c r="I86" i="5"/>
  <c r="L86" i="5" s="1"/>
  <c r="A86" i="5"/>
  <c r="K85" i="5"/>
  <c r="J85" i="5"/>
  <c r="I85" i="5"/>
  <c r="A85" i="5"/>
  <c r="K84" i="5"/>
  <c r="J84" i="5"/>
  <c r="I84" i="5"/>
  <c r="A84" i="5"/>
  <c r="K83" i="5"/>
  <c r="J83" i="5"/>
  <c r="I83" i="5"/>
  <c r="A83" i="5"/>
  <c r="K82" i="5"/>
  <c r="J82" i="5"/>
  <c r="I82" i="5"/>
  <c r="L82" i="5" s="1"/>
  <c r="A82" i="5"/>
  <c r="K81" i="5"/>
  <c r="J81" i="5"/>
  <c r="I81" i="5"/>
  <c r="A81" i="5"/>
  <c r="K80" i="5"/>
  <c r="J80" i="5"/>
  <c r="I80" i="5"/>
  <c r="L80" i="5" s="1"/>
  <c r="A80" i="5"/>
  <c r="K79" i="5"/>
  <c r="J79" i="5"/>
  <c r="I79" i="5"/>
  <c r="L79" i="5" s="1"/>
  <c r="A79" i="5"/>
  <c r="K78" i="5"/>
  <c r="J78" i="5"/>
  <c r="I78" i="5"/>
  <c r="A78" i="5"/>
  <c r="K77" i="5"/>
  <c r="L77" i="5" s="1"/>
  <c r="J77" i="5"/>
  <c r="I77" i="5"/>
  <c r="A77" i="5"/>
  <c r="K76" i="5"/>
  <c r="J76" i="5"/>
  <c r="I76" i="5"/>
  <c r="A76" i="5"/>
  <c r="K75" i="5"/>
  <c r="J75" i="5"/>
  <c r="I75" i="5"/>
  <c r="A75" i="5"/>
  <c r="K74" i="5"/>
  <c r="L74" i="5" s="1"/>
  <c r="J74" i="5"/>
  <c r="I74" i="5"/>
  <c r="A74" i="5"/>
  <c r="L73" i="5"/>
  <c r="K73" i="5"/>
  <c r="J73" i="5"/>
  <c r="I73" i="5"/>
  <c r="A73" i="5"/>
  <c r="K72" i="5"/>
  <c r="J72" i="5"/>
  <c r="I72" i="5"/>
  <c r="A72" i="5"/>
  <c r="K71" i="5"/>
  <c r="J71" i="5"/>
  <c r="I71" i="5"/>
  <c r="L71" i="5" s="1"/>
  <c r="A71" i="5"/>
  <c r="K70" i="5"/>
  <c r="J70" i="5"/>
  <c r="I70" i="5"/>
  <c r="L70" i="5" s="1"/>
  <c r="A70" i="5"/>
  <c r="K69" i="5"/>
  <c r="J69" i="5"/>
  <c r="I69" i="5"/>
  <c r="A69" i="5"/>
  <c r="K68" i="5"/>
  <c r="J68" i="5"/>
  <c r="I68" i="5"/>
  <c r="A68" i="5"/>
  <c r="K67" i="5"/>
  <c r="J67" i="5"/>
  <c r="I67" i="5"/>
  <c r="A67" i="5"/>
  <c r="K66" i="5"/>
  <c r="J66" i="5"/>
  <c r="I66" i="5"/>
  <c r="L66" i="5" s="1"/>
  <c r="A66" i="5"/>
  <c r="K65" i="5"/>
  <c r="J65" i="5"/>
  <c r="I65" i="5"/>
  <c r="A65" i="5"/>
  <c r="K64" i="5"/>
  <c r="J64" i="5"/>
  <c r="I64" i="5"/>
  <c r="L64" i="5" s="1"/>
  <c r="A64" i="5"/>
  <c r="K63" i="5"/>
  <c r="J63" i="5"/>
  <c r="I63" i="5"/>
  <c r="L63" i="5" s="1"/>
  <c r="A63" i="5"/>
  <c r="K62" i="5"/>
  <c r="J62" i="5"/>
  <c r="I62" i="5"/>
  <c r="A62" i="5"/>
  <c r="K61" i="5"/>
  <c r="L61" i="5" s="1"/>
  <c r="J61" i="5"/>
  <c r="I61" i="5"/>
  <c r="A61" i="5"/>
  <c r="K60" i="5"/>
  <c r="J60" i="5"/>
  <c r="I60" i="5"/>
  <c r="A60" i="5"/>
  <c r="K59" i="5"/>
  <c r="J59" i="5"/>
  <c r="I59" i="5"/>
  <c r="A59" i="5"/>
  <c r="K58" i="5"/>
  <c r="L58" i="5" s="1"/>
  <c r="J58" i="5"/>
  <c r="I58" i="5"/>
  <c r="A58" i="5"/>
  <c r="L57" i="5"/>
  <c r="K57" i="5"/>
  <c r="J57" i="5"/>
  <c r="I57" i="5"/>
  <c r="A57" i="5"/>
  <c r="K56" i="5"/>
  <c r="J56" i="5"/>
  <c r="I56" i="5"/>
  <c r="A56" i="5"/>
  <c r="K55" i="5"/>
  <c r="J55" i="5"/>
  <c r="I55" i="5"/>
  <c r="A55" i="5"/>
  <c r="K54" i="5"/>
  <c r="J54" i="5"/>
  <c r="I54" i="5"/>
  <c r="L54" i="5" s="1"/>
  <c r="A54" i="5"/>
  <c r="K53" i="5"/>
  <c r="J53" i="5"/>
  <c r="I53" i="5"/>
  <c r="A53" i="5"/>
  <c r="K52" i="5"/>
  <c r="J52" i="5"/>
  <c r="I52" i="5"/>
  <c r="A52" i="5"/>
  <c r="K51" i="5"/>
  <c r="J51" i="5"/>
  <c r="I51" i="5"/>
  <c r="A51" i="5"/>
  <c r="K50" i="5"/>
  <c r="J50" i="5"/>
  <c r="I50" i="5"/>
  <c r="L50" i="5" s="1"/>
  <c r="A50" i="5"/>
  <c r="K49" i="5"/>
  <c r="J49" i="5"/>
  <c r="I49" i="5"/>
  <c r="A49" i="5"/>
  <c r="K48" i="5"/>
  <c r="J48" i="5"/>
  <c r="I48" i="5"/>
  <c r="L48" i="5" s="1"/>
  <c r="A48" i="5"/>
  <c r="K47" i="5"/>
  <c r="J47" i="5"/>
  <c r="I47" i="5"/>
  <c r="L47" i="5" s="1"/>
  <c r="A47" i="5"/>
  <c r="K46" i="5"/>
  <c r="J46" i="5"/>
  <c r="I46" i="5"/>
  <c r="A46" i="5"/>
  <c r="K45" i="5"/>
  <c r="J45" i="5"/>
  <c r="I45" i="5"/>
  <c r="A45" i="5"/>
  <c r="K44" i="5"/>
  <c r="J44" i="5"/>
  <c r="I44" i="5"/>
  <c r="A44" i="5"/>
  <c r="K43" i="5"/>
  <c r="J43" i="5"/>
  <c r="I43" i="5"/>
  <c r="A43" i="5"/>
  <c r="K42" i="5"/>
  <c r="J42" i="5"/>
  <c r="I42" i="5"/>
  <c r="A42" i="5"/>
  <c r="K41" i="5"/>
  <c r="L41" i="5" s="1"/>
  <c r="J41" i="5"/>
  <c r="I41" i="5"/>
  <c r="A41" i="5"/>
  <c r="L40" i="5"/>
  <c r="K40" i="5"/>
  <c r="J40" i="5"/>
  <c r="I40" i="5"/>
  <c r="A40" i="5"/>
  <c r="K39" i="5"/>
  <c r="J39" i="5"/>
  <c r="I39" i="5"/>
  <c r="A39" i="5"/>
  <c r="K38" i="5"/>
  <c r="J38" i="5"/>
  <c r="I38" i="5"/>
  <c r="A38" i="5"/>
  <c r="K37" i="5"/>
  <c r="J37" i="5"/>
  <c r="I37" i="5"/>
  <c r="L37" i="5" s="1"/>
  <c r="A37" i="5"/>
  <c r="K36" i="5"/>
  <c r="J36" i="5"/>
  <c r="I36" i="5"/>
  <c r="A36" i="5"/>
  <c r="K35" i="5"/>
  <c r="J35" i="5"/>
  <c r="I35" i="5"/>
  <c r="A35" i="5"/>
  <c r="K34" i="5"/>
  <c r="J34" i="5"/>
  <c r="I34" i="5"/>
  <c r="L34" i="5" s="1"/>
  <c r="A34" i="5"/>
  <c r="K33" i="5"/>
  <c r="J33" i="5"/>
  <c r="I33" i="5"/>
  <c r="L33" i="5" s="1"/>
  <c r="A33" i="5"/>
  <c r="K32" i="5"/>
  <c r="J32" i="5"/>
  <c r="I32" i="5"/>
  <c r="L32" i="5" s="1"/>
  <c r="A32" i="5"/>
  <c r="K31" i="5"/>
  <c r="J31" i="5"/>
  <c r="L31" i="5" s="1"/>
  <c r="I31" i="5"/>
  <c r="A31" i="5"/>
  <c r="K30" i="5"/>
  <c r="J30" i="5"/>
  <c r="I30" i="5"/>
  <c r="A30" i="5"/>
  <c r="K29" i="5"/>
  <c r="J29" i="5"/>
  <c r="I29" i="5"/>
  <c r="A29" i="5"/>
  <c r="K28" i="5"/>
  <c r="J28" i="5"/>
  <c r="I28" i="5"/>
  <c r="A28" i="5"/>
  <c r="K27" i="5"/>
  <c r="J27" i="5"/>
  <c r="I27" i="5"/>
  <c r="A27" i="5"/>
  <c r="K26" i="5"/>
  <c r="J26" i="5"/>
  <c r="I26" i="5"/>
  <c r="A26" i="5"/>
  <c r="K25" i="5"/>
  <c r="L25" i="5" s="1"/>
  <c r="J25" i="5"/>
  <c r="I25" i="5"/>
  <c r="A25" i="5"/>
  <c r="L24" i="5"/>
  <c r="K24" i="5"/>
  <c r="J24" i="5"/>
  <c r="I24" i="5"/>
  <c r="A24" i="5"/>
  <c r="K23" i="5"/>
  <c r="J23" i="5"/>
  <c r="I23" i="5"/>
  <c r="A23" i="5"/>
  <c r="K22" i="5"/>
  <c r="J22" i="5"/>
  <c r="I22" i="5"/>
  <c r="A22" i="5"/>
  <c r="K21" i="5"/>
  <c r="J21" i="5"/>
  <c r="I21" i="5"/>
  <c r="L21" i="5" s="1"/>
  <c r="A21" i="5"/>
  <c r="K20" i="5"/>
  <c r="J20" i="5"/>
  <c r="I20" i="5"/>
  <c r="A20" i="5"/>
  <c r="K19" i="5"/>
  <c r="J19" i="5"/>
  <c r="I19" i="5"/>
  <c r="A19" i="5"/>
  <c r="K18" i="5"/>
  <c r="J18" i="5"/>
  <c r="I18" i="5"/>
  <c r="L18" i="5" s="1"/>
  <c r="A18" i="5"/>
  <c r="K17" i="5"/>
  <c r="J17" i="5"/>
  <c r="I17" i="5"/>
  <c r="L17" i="5" s="1"/>
  <c r="A17" i="5"/>
  <c r="K16" i="5"/>
  <c r="J16" i="5"/>
  <c r="I16" i="5"/>
  <c r="L16" i="5" s="1"/>
  <c r="A16" i="5"/>
  <c r="K15" i="5"/>
  <c r="J15" i="5"/>
  <c r="L15" i="5" s="1"/>
  <c r="I15" i="5"/>
  <c r="A15" i="5"/>
  <c r="K14" i="5"/>
  <c r="J14" i="5"/>
  <c r="I14" i="5"/>
  <c r="A14" i="5"/>
  <c r="K13" i="5"/>
  <c r="J13" i="5"/>
  <c r="I13" i="5"/>
  <c r="A13" i="5"/>
  <c r="K12" i="5"/>
  <c r="J12" i="5"/>
  <c r="I12" i="5"/>
  <c r="A12" i="5"/>
  <c r="K11" i="5"/>
  <c r="J11" i="5"/>
  <c r="I11" i="5"/>
  <c r="A11" i="5"/>
  <c r="K10" i="5"/>
  <c r="J10" i="5"/>
  <c r="I10" i="5"/>
  <c r="A10" i="5"/>
  <c r="K9" i="5"/>
  <c r="L9" i="5" s="1"/>
  <c r="J9" i="5"/>
  <c r="I9" i="5"/>
  <c r="A9" i="5"/>
  <c r="L8" i="5"/>
  <c r="K8" i="5"/>
  <c r="J8" i="5"/>
  <c r="I8" i="5"/>
  <c r="A8" i="5"/>
  <c r="K7" i="5"/>
  <c r="J7" i="5"/>
  <c r="I7" i="5"/>
  <c r="A7" i="5"/>
  <c r="K6" i="5"/>
  <c r="J6" i="5"/>
  <c r="I6" i="5"/>
  <c r="A6" i="5"/>
  <c r="K5" i="5"/>
  <c r="J5" i="5"/>
  <c r="I5" i="5"/>
  <c r="L5" i="5" s="1"/>
  <c r="A5" i="5"/>
  <c r="K4" i="5"/>
  <c r="J4" i="5"/>
  <c r="I4" i="5"/>
  <c r="A4" i="5"/>
  <c r="K3" i="5"/>
  <c r="J3" i="5"/>
  <c r="I3" i="5"/>
  <c r="A3" i="5"/>
  <c r="D10" i="4"/>
  <c r="D11" i="4" s="1"/>
  <c r="D12" i="4" s="1"/>
  <c r="D13" i="4" s="1"/>
  <c r="C16" i="3"/>
  <c r="B16" i="3"/>
  <c r="D16" i="3" s="1"/>
  <c r="K16" i="3" s="1"/>
  <c r="K15" i="3"/>
  <c r="D15" i="3"/>
  <c r="B15" i="3"/>
  <c r="F14" i="3"/>
  <c r="G14" i="3" s="1"/>
  <c r="C14" i="3"/>
  <c r="D14" i="3" s="1"/>
  <c r="I13" i="3"/>
  <c r="H13" i="3"/>
  <c r="J13" i="3" s="1"/>
  <c r="J17" i="3" s="1"/>
  <c r="F13" i="3"/>
  <c r="G13" i="3" s="1"/>
  <c r="E13" i="3"/>
  <c r="C13" i="3"/>
  <c r="B13" i="3"/>
  <c r="D13" i="3" s="1"/>
  <c r="J12" i="3"/>
  <c r="I12" i="3"/>
  <c r="F12" i="3"/>
  <c r="G12" i="3" s="1"/>
  <c r="D12" i="3"/>
  <c r="C12" i="3"/>
  <c r="F11" i="3"/>
  <c r="G11" i="3" s="1"/>
  <c r="D11" i="3"/>
  <c r="K11" i="3" s="1"/>
  <c r="C11" i="3"/>
  <c r="F10" i="3"/>
  <c r="E10" i="3"/>
  <c r="G10" i="3" s="1"/>
  <c r="C10" i="3"/>
  <c r="B10" i="3"/>
  <c r="F9" i="3"/>
  <c r="E9" i="3"/>
  <c r="D9" i="3"/>
  <c r="B9" i="3"/>
  <c r="C8" i="3"/>
  <c r="B8" i="3"/>
  <c r="B7" i="3"/>
  <c r="D7" i="3" s="1"/>
  <c r="K7" i="3" s="1"/>
  <c r="D6" i="3"/>
  <c r="K6" i="3" s="1"/>
  <c r="B5" i="3"/>
  <c r="D5" i="3" s="1"/>
  <c r="K5" i="3" s="1"/>
  <c r="I36" i="2"/>
  <c r="H36" i="2"/>
  <c r="F36" i="2"/>
  <c r="E36" i="2"/>
  <c r="D36" i="2"/>
  <c r="D37" i="2" s="1"/>
  <c r="I28" i="2"/>
  <c r="H28" i="2"/>
  <c r="F28" i="2"/>
  <c r="E28" i="2"/>
  <c r="D28" i="2"/>
  <c r="D29" i="2" s="1"/>
  <c r="I20" i="2"/>
  <c r="H20" i="2"/>
  <c r="F20" i="2"/>
  <c r="E20" i="2"/>
  <c r="D20" i="2"/>
  <c r="D21" i="2" s="1"/>
  <c r="N10" i="2"/>
  <c r="N12" i="2" s="1"/>
  <c r="W9" i="2"/>
  <c r="V9" i="2"/>
  <c r="W8" i="2"/>
  <c r="V8" i="2"/>
  <c r="W7" i="2"/>
  <c r="V7" i="2"/>
  <c r="U7" i="2"/>
  <c r="T7" i="2"/>
  <c r="W6" i="2"/>
  <c r="W10" i="2" s="1"/>
  <c r="W12" i="2" s="1"/>
  <c r="V6" i="2"/>
  <c r="U6" i="2"/>
  <c r="T6" i="2"/>
  <c r="I6" i="2"/>
  <c r="H6" i="2"/>
  <c r="F6" i="2"/>
  <c r="E6" i="2"/>
  <c r="D6" i="2"/>
  <c r="D5" i="2"/>
  <c r="I24" i="1"/>
  <c r="F24" i="1"/>
  <c r="C24" i="1"/>
  <c r="C23" i="1"/>
  <c r="I23" i="1" s="1"/>
  <c r="C22" i="1"/>
  <c r="C21" i="1"/>
  <c r="C20" i="1"/>
  <c r="I12" i="1"/>
  <c r="F12" i="1"/>
  <c r="C12" i="1"/>
  <c r="C11" i="1"/>
  <c r="F11" i="1" s="1"/>
  <c r="C10" i="1"/>
  <c r="B10" i="1"/>
  <c r="C9" i="1"/>
  <c r="B9" i="1"/>
  <c r="C8" i="1"/>
  <c r="B8" i="1"/>
  <c r="N8" i="1" s="1"/>
  <c r="C7" i="1"/>
  <c r="B7" i="1"/>
  <c r="N7" i="1" s="1"/>
  <c r="C6" i="1"/>
  <c r="B6" i="1"/>
  <c r="N6" i="1" s="1"/>
  <c r="C5" i="1"/>
  <c r="B5" i="1"/>
  <c r="J6" i="2" l="1"/>
  <c r="J7" i="2" s="1"/>
  <c r="G20" i="2"/>
  <c r="G21" i="2" s="1"/>
  <c r="U10" i="2"/>
  <c r="U12" i="2" s="1"/>
  <c r="G6" i="2"/>
  <c r="G7" i="2" s="1"/>
  <c r="J20" i="2"/>
  <c r="J21" i="2" s="1"/>
  <c r="N10" i="1"/>
  <c r="T10" i="1"/>
  <c r="U10" i="1"/>
  <c r="U13" i="1" s="1"/>
  <c r="U15" i="1" s="1"/>
  <c r="N5" i="1"/>
  <c r="T5" i="1"/>
  <c r="U5" i="1"/>
  <c r="X9" i="1"/>
  <c r="N9" i="1"/>
  <c r="N13" i="1" s="1"/>
  <c r="N15" i="1" s="1"/>
  <c r="K22" i="6"/>
  <c r="K20" i="6"/>
  <c r="D7" i="2"/>
  <c r="K7" i="2" s="1"/>
  <c r="G28" i="2"/>
  <c r="G29" i="2" s="1"/>
  <c r="V10" i="2"/>
  <c r="V12" i="2" s="1"/>
  <c r="J28" i="2"/>
  <c r="J29" i="2" s="1"/>
  <c r="V8" i="1"/>
  <c r="X8" i="1"/>
  <c r="V6" i="1"/>
  <c r="X6" i="1"/>
  <c r="D8" i="1"/>
  <c r="G8" i="1" s="1"/>
  <c r="J8" i="1" s="1"/>
  <c r="X5" i="1"/>
  <c r="V9" i="1"/>
  <c r="F23" i="1"/>
  <c r="V10" i="1"/>
  <c r="X10" i="1"/>
  <c r="V7" i="1"/>
  <c r="X7" i="1"/>
  <c r="D9" i="1"/>
  <c r="G9" i="1" s="1"/>
  <c r="J9" i="1" s="1"/>
  <c r="D5" i="1"/>
  <c r="G5" i="1" s="1"/>
  <c r="J5" i="1" s="1"/>
  <c r="V5" i="1"/>
  <c r="D20" i="1"/>
  <c r="G20" i="1" s="1"/>
  <c r="L53" i="5"/>
  <c r="L83" i="5"/>
  <c r="T10" i="2"/>
  <c r="T12" i="2" s="1"/>
  <c r="D10" i="3"/>
  <c r="K12" i="3"/>
  <c r="K148" i="5"/>
  <c r="L4" i="5"/>
  <c r="L10" i="5"/>
  <c r="L13" i="5"/>
  <c r="L20" i="5"/>
  <c r="L26" i="5"/>
  <c r="L29" i="5"/>
  <c r="L36" i="5"/>
  <c r="L42" i="5"/>
  <c r="L45" i="5"/>
  <c r="L46" i="5"/>
  <c r="L62" i="5"/>
  <c r="L78" i="5"/>
  <c r="L94" i="5"/>
  <c r="L110" i="5"/>
  <c r="L111" i="5"/>
  <c r="L126" i="5"/>
  <c r="L127" i="5"/>
  <c r="L142" i="5"/>
  <c r="L143" i="5"/>
  <c r="L12" i="5"/>
  <c r="L28" i="5"/>
  <c r="L44" i="5"/>
  <c r="L49" i="5"/>
  <c r="L51" i="5"/>
  <c r="L67" i="5"/>
  <c r="L69" i="5"/>
  <c r="L81" i="5"/>
  <c r="L85" i="5"/>
  <c r="L97" i="5"/>
  <c r="L147" i="5"/>
  <c r="D22" i="1"/>
  <c r="G22" i="1" s="1"/>
  <c r="J22" i="1" s="1"/>
  <c r="J36" i="2"/>
  <c r="J37" i="2" s="1"/>
  <c r="D8" i="3"/>
  <c r="K8" i="3" s="1"/>
  <c r="L7" i="5"/>
  <c r="L23" i="5"/>
  <c r="L39" i="5"/>
  <c r="L59" i="5"/>
  <c r="L75" i="5"/>
  <c r="L91" i="5"/>
  <c r="L106" i="5"/>
  <c r="L107" i="5"/>
  <c r="L122" i="5"/>
  <c r="L123" i="5"/>
  <c r="L136" i="5"/>
  <c r="L138" i="5"/>
  <c r="L139" i="5"/>
  <c r="D149" i="5"/>
  <c r="K13" i="3"/>
  <c r="J38" i="2"/>
  <c r="J26" i="1"/>
  <c r="J22" i="2"/>
  <c r="J30" i="2"/>
  <c r="J14" i="1"/>
  <c r="J8" i="2"/>
  <c r="J9" i="2" s="1"/>
  <c r="H11" i="1"/>
  <c r="H23" i="1"/>
  <c r="I11" i="1"/>
  <c r="E23" i="1"/>
  <c r="E11" i="1"/>
  <c r="J148" i="5"/>
  <c r="L3" i="5"/>
  <c r="L11" i="5"/>
  <c r="L19" i="5"/>
  <c r="L27" i="5"/>
  <c r="L35" i="5"/>
  <c r="L43" i="5"/>
  <c r="D7" i="1"/>
  <c r="G7" i="1" s="1"/>
  <c r="J7" i="1" s="1"/>
  <c r="K10" i="3"/>
  <c r="D6" i="1"/>
  <c r="G6" i="1" s="1"/>
  <c r="J6" i="1" s="1"/>
  <c r="D10" i="1"/>
  <c r="G10" i="1" s="1"/>
  <c r="J10" i="1" s="1"/>
  <c r="G36" i="2"/>
  <c r="G37" i="2" s="1"/>
  <c r="D17" i="3"/>
  <c r="G9" i="3"/>
  <c r="K14" i="3"/>
  <c r="B11" i="1"/>
  <c r="B23" i="1"/>
  <c r="I148" i="5"/>
  <c r="L6" i="5"/>
  <c r="L14" i="5"/>
  <c r="L22" i="5"/>
  <c r="L30" i="5"/>
  <c r="L38" i="5"/>
  <c r="L55" i="5"/>
  <c r="L65" i="5"/>
  <c r="L87" i="5"/>
  <c r="L60" i="5"/>
  <c r="L76" i="5"/>
  <c r="L92" i="5"/>
  <c r="L115" i="5"/>
  <c r="L131" i="5"/>
  <c r="L140" i="5"/>
  <c r="L52" i="5"/>
  <c r="L68" i="5"/>
  <c r="L84" i="5"/>
  <c r="L112" i="5"/>
  <c r="L128" i="5"/>
  <c r="L144" i="5"/>
  <c r="L56" i="5"/>
  <c r="L72" i="5"/>
  <c r="L88" i="5"/>
  <c r="L99" i="5"/>
  <c r="L103" i="5"/>
  <c r="L108" i="5"/>
  <c r="L119" i="5"/>
  <c r="L124" i="5"/>
  <c r="L135" i="5"/>
  <c r="F149" i="5"/>
  <c r="B21" i="1"/>
  <c r="D21" i="1" s="1"/>
  <c r="G21" i="1" s="1"/>
  <c r="J21" i="1" s="1"/>
  <c r="J31" i="2" l="1"/>
  <c r="K29" i="2"/>
  <c r="K21" i="2"/>
  <c r="J23" i="2"/>
  <c r="T13" i="1"/>
  <c r="T15" i="1" s="1"/>
  <c r="X13" i="1"/>
  <c r="X15" i="1" s="1"/>
  <c r="V13" i="1"/>
  <c r="V15" i="1" s="1"/>
  <c r="J39" i="2"/>
  <c r="K37" i="2"/>
  <c r="D23" i="1"/>
  <c r="D24" i="1"/>
  <c r="D22" i="2"/>
  <c r="D23" i="2" s="1"/>
  <c r="D38" i="2"/>
  <c r="D39" i="2" s="1"/>
  <c r="D26" i="1"/>
  <c r="D8" i="2"/>
  <c r="D9" i="2" s="1"/>
  <c r="D14" i="1"/>
  <c r="D30" i="2"/>
  <c r="D31" i="2" s="1"/>
  <c r="K17" i="3"/>
  <c r="G24" i="1"/>
  <c r="G23" i="1"/>
  <c r="J12" i="1"/>
  <c r="J11" i="1"/>
  <c r="D12" i="1"/>
  <c r="D11" i="1"/>
  <c r="L148" i="5"/>
  <c r="M3" i="5"/>
  <c r="M4" i="5" s="1"/>
  <c r="M5" i="5" s="1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2" i="5" s="1"/>
  <c r="M143" i="5" s="1"/>
  <c r="M144" i="5" s="1"/>
  <c r="M145" i="5" s="1"/>
  <c r="M146" i="5" s="1"/>
  <c r="M147" i="5" s="1"/>
  <c r="J20" i="1"/>
  <c r="G17" i="3"/>
  <c r="K9" i="3"/>
  <c r="G11" i="1"/>
  <c r="G12" i="1"/>
  <c r="J23" i="1"/>
  <c r="J24" i="1"/>
  <c r="J13" i="1" l="1"/>
  <c r="J15" i="1" s="1"/>
  <c r="D25" i="1"/>
  <c r="D13" i="1"/>
  <c r="D15" i="1" s="1"/>
  <c r="G25" i="1"/>
  <c r="N146" i="5"/>
  <c r="N142" i="5"/>
  <c r="N138" i="5"/>
  <c r="N134" i="5"/>
  <c r="N130" i="5"/>
  <c r="N126" i="5"/>
  <c r="N122" i="5"/>
  <c r="N118" i="5"/>
  <c r="N114" i="5"/>
  <c r="N110" i="5"/>
  <c r="N106" i="5"/>
  <c r="N102" i="5"/>
  <c r="N98" i="5"/>
  <c r="N94" i="5"/>
  <c r="N90" i="5"/>
  <c r="N86" i="5"/>
  <c r="N82" i="5"/>
  <c r="N78" i="5"/>
  <c r="N74" i="5"/>
  <c r="N70" i="5"/>
  <c r="N66" i="5"/>
  <c r="N62" i="5"/>
  <c r="N58" i="5"/>
  <c r="N54" i="5"/>
  <c r="N50" i="5"/>
  <c r="N46" i="5"/>
  <c r="N144" i="5"/>
  <c r="N140" i="5"/>
  <c r="N136" i="5"/>
  <c r="N132" i="5"/>
  <c r="N128" i="5"/>
  <c r="N124" i="5"/>
  <c r="N120" i="5"/>
  <c r="N116" i="5"/>
  <c r="N112" i="5"/>
  <c r="N108" i="5"/>
  <c r="N104" i="5"/>
  <c r="N100" i="5"/>
  <c r="N145" i="5"/>
  <c r="N141" i="5"/>
  <c r="N137" i="5"/>
  <c r="N133" i="5"/>
  <c r="N129" i="5"/>
  <c r="N125" i="5"/>
  <c r="N121" i="5"/>
  <c r="N117" i="5"/>
  <c r="N113" i="5"/>
  <c r="N109" i="5"/>
  <c r="N105" i="5"/>
  <c r="N101" i="5"/>
  <c r="N147" i="5"/>
  <c r="N131" i="5"/>
  <c r="N115" i="5"/>
  <c r="N99" i="5"/>
  <c r="N97" i="5"/>
  <c r="N95" i="5"/>
  <c r="N88" i="5"/>
  <c r="N81" i="5"/>
  <c r="N79" i="5"/>
  <c r="N72" i="5"/>
  <c r="N65" i="5"/>
  <c r="N63" i="5"/>
  <c r="N56" i="5"/>
  <c r="N49" i="5"/>
  <c r="N47" i="5"/>
  <c r="N44" i="5"/>
  <c r="N40" i="5"/>
  <c r="N36" i="5"/>
  <c r="N32" i="5"/>
  <c r="N28" i="5"/>
  <c r="N24" i="5"/>
  <c r="N20" i="5"/>
  <c r="N16" i="5"/>
  <c r="N12" i="5"/>
  <c r="N8" i="5"/>
  <c r="N4" i="5"/>
  <c r="N135" i="5"/>
  <c r="N119" i="5"/>
  <c r="N103" i="5"/>
  <c r="N93" i="5"/>
  <c r="N91" i="5"/>
  <c r="N84" i="5"/>
  <c r="N77" i="5"/>
  <c r="N75" i="5"/>
  <c r="N68" i="5"/>
  <c r="N61" i="5"/>
  <c r="N59" i="5"/>
  <c r="N52" i="5"/>
  <c r="N45" i="5"/>
  <c r="N41" i="5"/>
  <c r="N37" i="5"/>
  <c r="N33" i="5"/>
  <c r="N29" i="5"/>
  <c r="N25" i="5"/>
  <c r="N21" i="5"/>
  <c r="N17" i="5"/>
  <c r="N13" i="5"/>
  <c r="N9" i="5"/>
  <c r="N5" i="5"/>
  <c r="N139" i="5"/>
  <c r="N123" i="5"/>
  <c r="N107" i="5"/>
  <c r="N96" i="5"/>
  <c r="N143" i="5"/>
  <c r="N127" i="5"/>
  <c r="N111" i="5"/>
  <c r="N92" i="5"/>
  <c r="N85" i="5"/>
  <c r="N83" i="5"/>
  <c r="N76" i="5"/>
  <c r="N69" i="5"/>
  <c r="N67" i="5"/>
  <c r="N60" i="5"/>
  <c r="N53" i="5"/>
  <c r="N51" i="5"/>
  <c r="N38" i="5"/>
  <c r="N30" i="5"/>
  <c r="N22" i="5"/>
  <c r="N14" i="5"/>
  <c r="N6" i="5"/>
  <c r="N18" i="5"/>
  <c r="N87" i="5"/>
  <c r="N80" i="5"/>
  <c r="N73" i="5"/>
  <c r="N55" i="5"/>
  <c r="N48" i="5"/>
  <c r="N43" i="5"/>
  <c r="N35" i="5"/>
  <c r="N27" i="5"/>
  <c r="N19" i="5"/>
  <c r="N11" i="5"/>
  <c r="N3" i="5"/>
  <c r="N42" i="5"/>
  <c r="N34" i="5"/>
  <c r="N26" i="5"/>
  <c r="N89" i="5"/>
  <c r="N71" i="5"/>
  <c r="N64" i="5"/>
  <c r="N57" i="5"/>
  <c r="N39" i="5"/>
  <c r="N31" i="5"/>
  <c r="N23" i="5"/>
  <c r="N15" i="5"/>
  <c r="N7" i="5"/>
  <c r="N10" i="5"/>
  <c r="D27" i="1"/>
  <c r="J25" i="1"/>
  <c r="J27" i="1" s="1"/>
  <c r="G13" i="1"/>
  <c r="G30" i="2"/>
  <c r="G31" i="2" s="1"/>
  <c r="K31" i="2" s="1"/>
  <c r="G8" i="2"/>
  <c r="G9" i="2" s="1"/>
  <c r="K9" i="2" s="1"/>
  <c r="G14" i="1"/>
  <c r="G22" i="2"/>
  <c r="G23" i="2" s="1"/>
  <c r="K23" i="2" s="1"/>
  <c r="G38" i="2"/>
  <c r="G39" i="2" s="1"/>
  <c r="K39" i="2" s="1"/>
  <c r="G26" i="1"/>
  <c r="G27" i="1" l="1"/>
  <c r="K27" i="1" s="1"/>
  <c r="G15" i="1"/>
  <c r="K15" i="1" s="1"/>
  <c r="K25" i="1"/>
  <c r="K13" i="1"/>
</calcChain>
</file>

<file path=xl/comments1.xml><?xml version="1.0" encoding="utf-8"?>
<comments xmlns="http://schemas.openxmlformats.org/spreadsheetml/2006/main">
  <authors>
    <author>KJW</author>
  </authors>
  <commentList>
    <comment ref="S5" authorId="0" shapeId="0">
      <text>
        <r>
          <rPr>
            <b/>
            <sz val="9"/>
            <color indexed="81"/>
            <rFont val="Tahoma"/>
            <family val="2"/>
          </rPr>
          <t>KJW:</t>
        </r>
        <r>
          <rPr>
            <sz val="9"/>
            <color indexed="81"/>
            <rFont val="Tahoma"/>
            <family val="2"/>
          </rPr>
          <t xml:space="preserve">
Estimated, no CPU Mark published yet. Extrapoloated from 6144 and 6150
 at https://cpubenchmark.net/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KJW:</t>
        </r>
        <r>
          <rPr>
            <sz val="9"/>
            <color indexed="81"/>
            <rFont val="Tahoma"/>
            <family val="2"/>
          </rPr>
          <t xml:space="preserve">
From https://web.njit.edu/topics/HPC/specs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</rPr>
          <t>KJW:</t>
        </r>
        <r>
          <rPr>
            <sz val="9"/>
            <color indexed="81"/>
            <rFont val="Tahoma"/>
            <family val="2"/>
          </rPr>
          <t xml:space="preserve">
From https://web.njit.edu/topics/HPC/specs as of 20171102</t>
        </r>
      </text>
    </comment>
  </commentList>
</comments>
</file>

<file path=xl/comments2.xml><?xml version="1.0" encoding="utf-8"?>
<comments xmlns="http://schemas.openxmlformats.org/spreadsheetml/2006/main">
  <authors>
    <author>KJW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KJW:</t>
        </r>
        <r>
          <rPr>
            <sz val="9"/>
            <color indexed="81"/>
            <rFont val="Tahoma"/>
            <family val="2"/>
          </rPr>
          <t xml:space="preserve">
Source is vendor provided AzureVM-NJIT Specs compariosn_v1.1.xlsx and NJTI_Estimate_V3.xlsx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KJW:</t>
        </r>
        <r>
          <rPr>
            <sz val="9"/>
            <color indexed="81"/>
            <rFont val="Tahoma"/>
            <family val="2"/>
          </rPr>
          <t xml:space="preserve">
Estimate for "East US" zone deployment based on current "West US 2".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KJW:</t>
        </r>
        <r>
          <rPr>
            <sz val="9"/>
            <color indexed="81"/>
            <rFont val="Tahoma"/>
            <family val="2"/>
          </rPr>
          <t xml:space="preserve">
This  might be an error  by the vendor, only 1 need to replicate Stheno-5 expanions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KJW:</t>
        </r>
        <r>
          <rPr>
            <sz val="9"/>
            <color indexed="81"/>
            <rFont val="Tahoma"/>
            <family val="2"/>
          </rPr>
          <t xml:space="preserve">
From https://web.njit.edu/topics/HPC/specs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>KJW:</t>
        </r>
        <r>
          <rPr>
            <sz val="9"/>
            <color indexed="81"/>
            <rFont val="Tahoma"/>
            <family val="2"/>
          </rPr>
          <t xml:space="preserve">
From https://web.njit.edu/topics/HPC/specs as of 20171102</t>
        </r>
      </text>
    </comment>
  </commentList>
</comments>
</file>

<file path=xl/sharedStrings.xml><?xml version="1.0" encoding="utf-8"?>
<sst xmlns="http://schemas.openxmlformats.org/spreadsheetml/2006/main" count="555" uniqueCount="273">
  <si>
    <t>Total Cost</t>
  </si>
  <si>
    <t>Item</t>
  </si>
  <si>
    <t>Hours / Units</t>
  </si>
  <si>
    <t>Rate / Unit</t>
  </si>
  <si>
    <t>Cost</t>
  </si>
  <si>
    <t>B30 nodes (=12K11, EDU10 cost per year)</t>
  </si>
  <si>
    <t>T30 nodes (=3K9,1S5, EDU1 cost per year)</t>
  </si>
  <si>
    <t>H30 nodes (=2K5,1P,8S2,2S4,9S3, EDU10 cost per year)</t>
  </si>
  <si>
    <t>M40 nodes (=314K7,1K8,1G,8S1, EDU35 cost per year)</t>
  </si>
  <si>
    <t>Storage (with growth as shown in “NJIT storage” sheet; cost per GB per year)</t>
  </si>
  <si>
    <t>Storage backup charges (disk-to-disk, no off-site, cost per GB per year)</t>
  </si>
  <si>
    <t>Scenario subtotal</t>
  </si>
  <si>
    <t>NJIT costs (from “NJIT costs” sheet)</t>
  </si>
  <si>
    <t>Scenario total</t>
  </si>
  <si>
    <t>Serial CPU usage hours (from “NJIT usage” sheet)</t>
  </si>
  <si>
    <t>Parallel Environment (PE) hours</t>
  </si>
  <si>
    <t>GPU hours</t>
  </si>
  <si>
    <t>Vendor Costs: AWS, 3yr Convertable all upfront Reserved Instances [100% 3yr-upfront RI]</t>
  </si>
  <si>
    <t>NJIT vs vendor hardware comparison</t>
  </si>
  <si>
    <t>AWS, 3yr Convertable all upfront Reserved Instances [100% 3yr-upfront RI]</t>
  </si>
  <si>
    <t>per node</t>
  </si>
  <si>
    <t>total</t>
  </si>
  <si>
    <t>One-time payment</t>
  </si>
  <si>
    <t>Type / description</t>
  </si>
  <si>
    <t># nodes</t>
  </si>
  <si>
    <t>GPUs</t>
  </si>
  <si>
    <t>GPU cores</t>
  </si>
  <si>
    <t>CPU cores</t>
  </si>
  <si>
    <t>RAM, GB</t>
  </si>
  <si>
    <t>Monthly (servers, storage, backup, data transfer)</t>
  </si>
  <si>
    <t>p2.16xlarge / 16 GPU + 64vCPUs + 732 GB memory</t>
  </si>
  <si>
    <t>p2.xlarge / 1 GPU + 4 vCPUs + 61 GB memory</t>
  </si>
  <si>
    <t>NJIT costs (sheet)</t>
  </si>
  <si>
    <t>c4.8xlarge / 36 vCPUs + 60 GB memory</t>
  </si>
  <si>
    <t>x1.16xlarge / 64 vCPUs + 976 GB memory</t>
  </si>
  <si>
    <t>AWS TOTAL</t>
  </si>
  <si>
    <t>Vendor Costs: AWS, estimate hybrid (3yr. Convertible all upfront Reserved Instances with on-demand) [RI + OD]</t>
  </si>
  <si>
    <t>NJIT EXISTING TOTAL</t>
  </si>
  <si>
    <t>AWS DELTA</t>
  </si>
  <si>
    <t>Vendor Costs: AWS estimate (on-demand) @ 60% utilization</t>
  </si>
  <si>
    <t>Vendor Costs: AWS estimate (on-demand) [100% utilization]</t>
  </si>
  <si>
    <t>NJIT Localized Costs</t>
  </si>
  <si>
    <t>ARCS staff training (two persons, one week)</t>
  </si>
  <si>
    <t>ARCS staff training (by vendor, assumed on-site or remote, for two persons)</t>
  </si>
  <si>
    <t>Rewrite documentation on IST.NJIT.EDU by Stratcom (estimated 10 pages, 4 hours per page)</t>
  </si>
  <si>
    <t>Rewrite technical documentation on WIKI.HPC.ARCS.NJIT.EDU (estimated 50 pages, 6 hours per page)</t>
  </si>
  <si>
    <t>Faculty/researcher training (36 faculty, split 1st and 2nd years 75% / 25%)</t>
  </si>
  <si>
    <t>Faculty/researcher training (66 students, split 1st and 2nd years 75% / 25%)</t>
  </si>
  <si>
    <t>Faculty/researcher training (one ARCS staff, one day)</t>
  </si>
  <si>
    <t>Remote licencising setup and maintenance (one ARCS staff, 20 hours over course of year, assuming VPN into or out of NJIT to cloud -OR- hosted on cloud service at minimal cost)</t>
  </si>
  <si>
    <t>Assist faculty/researchers in rewritring code—change paths, compilers, submit scripts and moving data files (ARCS staff hours, 100 faculty/student researchers, 6 hours per researcher, omitting faculty salary, split across 3 years 60% 30% 10%)</t>
  </si>
  <si>
    <t>Migrate HPC administrative/helper scripts, utilities, provisionong, IDM (assume 10 scripts 1st year, 3 scripts in 2nd to support new IDM, 15 hours each, by ARCS staff)</t>
  </si>
  <si>
    <t>Helpdesk training (assume 5 helpdeskers, 1 day)</t>
  </si>
  <si>
    <t>Helpdesk training (one ARCS staffer for above, 1 day)</t>
  </si>
  <si>
    <t>NJIT Localized Costs Total</t>
  </si>
  <si>
    <t>NJIT Storage, Current and Projected</t>
  </si>
  <si>
    <t>Current non-scratch storage (GB):</t>
  </si>
  <si>
    <t>+%</t>
  </si>
  <si>
    <t>GB</t>
  </si>
  <si>
    <t>AFS Research</t>
  </si>
  <si>
    <t>Kong /home</t>
  </si>
  <si>
    <t>Kong /research/ddlab</t>
  </si>
  <si>
    <t>Kong /research/usman</t>
  </si>
  <si>
    <t>Stheno /home</t>
  </si>
  <si>
    <t>TOTAL NON-SCRATCH STORAGE 2017</t>
  </si>
  <si>
    <t>Anticipated 2018 storage (2017+10%)</t>
  </si>
  <si>
    <t>Anticipated 2019 storage (2018+20%)</t>
  </si>
  <si>
    <t>Anticipated 2020 storage (2019+20%)</t>
  </si>
  <si>
    <t>NJIT HISTORICAL USAGE Oct 2016 to Oct 2017</t>
  </si>
  <si>
    <t>Penguin On Demand Estimate</t>
  </si>
  <si>
    <t># Rank</t>
  </si>
  <si>
    <t>Hosts</t>
  </si>
  <si>
    <t>Login</t>
  </si>
  <si>
    <t>CPU hours</t>
  </si>
  <si>
    <t>PE hours</t>
  </si>
  <si>
    <t>Job count</t>
  </si>
  <si>
    <t>Newest</t>
  </si>
  <si>
    <t>CPU @0.08</t>
  </si>
  <si>
    <t>PE @0.022</t>
  </si>
  <si>
    <t>GPU @1.28</t>
  </si>
  <si>
    <t>Total</t>
  </si>
  <si>
    <t>Running Grand Total</t>
  </si>
  <si>
    <t>Running cutoff</t>
  </si>
  <si>
    <t>K</t>
  </si>
  <si>
    <t>sh383</t>
  </si>
  <si>
    <t>cc424</t>
  </si>
  <si>
    <t>usman</t>
  </si>
  <si>
    <t>cld</t>
  </si>
  <si>
    <t>me76</t>
  </si>
  <si>
    <t>cdd23</t>
  </si>
  <si>
    <t>hanwar</t>
  </si>
  <si>
    <t>js9</t>
  </si>
  <si>
    <t>amw7</t>
  </si>
  <si>
    <t>mam323</t>
  </si>
  <si>
    <t>fg58</t>
  </si>
  <si>
    <t>jmh24</t>
  </si>
  <si>
    <t>S</t>
  </si>
  <si>
    <t>is28</t>
  </si>
  <si>
    <t>jkw3</t>
  </si>
  <si>
    <t>crm23</t>
  </si>
  <si>
    <t>K S</t>
  </si>
  <si>
    <t>shahriar</t>
  </si>
  <si>
    <t>lk58</t>
  </si>
  <si>
    <t>hw56</t>
  </si>
  <si>
    <t>zs42</t>
  </si>
  <si>
    <t>sf47</t>
  </si>
  <si>
    <t>loh</t>
  </si>
  <si>
    <t>yyoung</t>
  </si>
  <si>
    <t>pm462</t>
  </si>
  <si>
    <t>yz746</t>
  </si>
  <si>
    <t>frissell</t>
  </si>
  <si>
    <t>dlp22</t>
  </si>
  <si>
    <t>gds9</t>
  </si>
  <si>
    <t>aka44</t>
  </si>
  <si>
    <t>kg0602</t>
  </si>
  <si>
    <t>mjm83</t>
  </si>
  <si>
    <t>ad386</t>
  </si>
  <si>
    <t>mn249</t>
  </si>
  <si>
    <t>hj78</t>
  </si>
  <si>
    <t>rcp25</t>
  </si>
  <si>
    <t>jsv28</t>
  </si>
  <si>
    <t>ly224</t>
  </si>
  <si>
    <t>jk369</t>
  </si>
  <si>
    <t>diekman</t>
  </si>
  <si>
    <t>michalop</t>
  </si>
  <si>
    <t>gor</t>
  </si>
  <si>
    <t>gs74</t>
  </si>
  <si>
    <t>cy53</t>
  </si>
  <si>
    <t>hh255</t>
  </si>
  <si>
    <t>lz242</t>
  </si>
  <si>
    <t>destefan</t>
  </si>
  <si>
    <t>ddlab</t>
  </si>
  <si>
    <t>vb82</t>
  </si>
  <si>
    <t>yy286</t>
  </si>
  <si>
    <t>yx277</t>
  </si>
  <si>
    <t>aj399</t>
  </si>
  <si>
    <t>aa547</t>
  </si>
  <si>
    <t>sel4</t>
  </si>
  <si>
    <t>ps468</t>
  </si>
  <si>
    <t>lz25</t>
  </si>
  <si>
    <t>jc946</t>
  </si>
  <si>
    <t>fc53</t>
  </si>
  <si>
    <t>hn9</t>
  </si>
  <si>
    <t>qw6</t>
  </si>
  <si>
    <t>vitaly</t>
  </si>
  <si>
    <t>gatto</t>
  </si>
  <si>
    <t>be37</t>
  </si>
  <si>
    <t>sd593</t>
  </si>
  <si>
    <t>zp42</t>
  </si>
  <si>
    <t>srg26</t>
  </si>
  <si>
    <t>ha226</t>
  </si>
  <si>
    <t>sl398</t>
  </si>
  <si>
    <t>fm59</t>
  </si>
  <si>
    <t>eca8</t>
  </si>
  <si>
    <t>vs574</t>
  </si>
  <si>
    <t>ss2959</t>
  </si>
  <si>
    <t>mal37</t>
  </si>
  <si>
    <t>peterp</t>
  </si>
  <si>
    <t>mws25</t>
  </si>
  <si>
    <t>gr93</t>
  </si>
  <si>
    <t>an367</t>
  </si>
  <si>
    <t>hw285</t>
  </si>
  <si>
    <t>lm287</t>
  </si>
  <si>
    <t>jk435</t>
  </si>
  <si>
    <t>ttt2</t>
  </si>
  <si>
    <t>ft54</t>
  </si>
  <si>
    <t>vc268</t>
  </si>
  <si>
    <t>fg72</t>
  </si>
  <si>
    <t>kag29</t>
  </si>
  <si>
    <t>th99</t>
  </si>
  <si>
    <t>std8</t>
  </si>
  <si>
    <t>misieg</t>
  </si>
  <si>
    <t>oye2</t>
  </si>
  <si>
    <t>arsoto</t>
  </si>
  <si>
    <t>matson</t>
  </si>
  <si>
    <t>ms2286</t>
  </si>
  <si>
    <t>djd42</t>
  </si>
  <si>
    <t>ar649</t>
  </si>
  <si>
    <t>ak895</t>
  </si>
  <si>
    <t>wd35</t>
  </si>
  <si>
    <t>nikastem</t>
  </si>
  <si>
    <t>alexg</t>
  </si>
  <si>
    <t>ag279</t>
  </si>
  <si>
    <t>cpg7</t>
  </si>
  <si>
    <t>rt277</t>
  </si>
  <si>
    <t>wlr3</t>
  </si>
  <si>
    <t>tyson</t>
  </si>
  <si>
    <t>fx32</t>
  </si>
  <si>
    <t>sd594</t>
  </si>
  <si>
    <t>gwolosh</t>
  </si>
  <si>
    <t>cy235</t>
  </si>
  <si>
    <t>qiu</t>
  </si>
  <si>
    <t>kvt3</t>
  </si>
  <si>
    <t>bozzelli</t>
  </si>
  <si>
    <t>guest24</t>
  </si>
  <si>
    <t>am2359</t>
  </si>
  <si>
    <t>had8</t>
  </si>
  <si>
    <t>sz255</t>
  </si>
  <si>
    <t>jw447</t>
  </si>
  <si>
    <t>ab745</t>
  </si>
  <si>
    <t>ktk2</t>
  </si>
  <si>
    <t>kac42</t>
  </si>
  <si>
    <t>lqp2</t>
  </si>
  <si>
    <t>welzhz</t>
  </si>
  <si>
    <t>ok26</t>
  </si>
  <si>
    <t>kp492</t>
  </si>
  <si>
    <t>fps3</t>
  </si>
  <si>
    <t>ml456</t>
  </si>
  <si>
    <t>hs523</t>
  </si>
  <si>
    <t>esratoy</t>
  </si>
  <si>
    <t>hz235</t>
  </si>
  <si>
    <t>jgf6</t>
  </si>
  <si>
    <t>ys344</t>
  </si>
  <si>
    <t>root</t>
  </si>
  <si>
    <t>sac45</t>
  </si>
  <si>
    <t>yw548</t>
  </si>
  <si>
    <t>polyakov</t>
  </si>
  <si>
    <t>davidp</t>
  </si>
  <si>
    <t>osl4</t>
  </si>
  <si>
    <t>bethn</t>
  </si>
  <si>
    <t>jl789</t>
  </si>
  <si>
    <t>mz86</t>
  </si>
  <si>
    <t>guest21</t>
  </si>
  <si>
    <t>jzm2</t>
  </si>
  <si>
    <t>fds6</t>
  </si>
  <si>
    <t>ms2369</t>
  </si>
  <si>
    <t>xl367</t>
  </si>
  <si>
    <t>hc255</t>
  </si>
  <si>
    <t>rmoore</t>
  </si>
  <si>
    <t>ql74</t>
  </si>
  <si>
    <t>oi7</t>
  </si>
  <si>
    <t>Monthly</t>
  </si>
  <si>
    <t>Note:  114 researchers ranked 31-145 are hidden above; all cost less than $10K per year.</t>
  </si>
  <si>
    <t>Vendor Costs: Penguin, all dedicated servers, approximates NJIT resources</t>
  </si>
  <si>
    <t>Vendor Costs: Penguin, all on-demand (POD), approximates NJIT 12-month usage</t>
  </si>
  <si>
    <t>Year total</t>
  </si>
  <si>
    <t>Notes: "Free" level support.  Smallish scratch space on nodes.</t>
  </si>
  <si>
    <t>P100 nodes (=5K10, EDU1 cost per year)</t>
  </si>
  <si>
    <t>Notes: All IB QDR or Omni Path network.  Lustre FS on S30/B30/P100 nodes.  Software and software support included.</t>
  </si>
  <si>
    <t>H30G nodes (=2Sg3,2K6, EDU1 cost  per year)</t>
  </si>
  <si>
    <t>E16 v3 nodes (=Phi)</t>
  </si>
  <si>
    <t>D32 v3 (=Gorgon)</t>
  </si>
  <si>
    <t>E16 v3 (=S2</t>
  </si>
  <si>
    <t>NC24r (=S3)</t>
  </si>
  <si>
    <t>H16r (=S4)</t>
  </si>
  <si>
    <t>NC24r (=S5)</t>
  </si>
  <si>
    <t>Units</t>
  </si>
  <si>
    <t>Monthly Estimated Cost</t>
  </si>
  <si>
    <t>Yearly Estimated Cost</t>
  </si>
  <si>
    <t>Storage (with growth as shown in “NJIT storage” sheet; cost per TB)</t>
  </si>
  <si>
    <t>H16r (=S1)</t>
  </si>
  <si>
    <t>E16 v3 nodes (=K5)</t>
  </si>
  <si>
    <t>NC24 (=K6)</t>
  </si>
  <si>
    <t>E8 v3 nodes (=K7)</t>
  </si>
  <si>
    <t>D32s v3 (=K8)</t>
  </si>
  <si>
    <t>D15 v2 (=K9)</t>
  </si>
  <si>
    <t>NC24 v2 (=K10)</t>
  </si>
  <si>
    <t>H16r (=K11)</t>
  </si>
  <si>
    <t>Notes:  No growth except disk usage.  No vendor support included.</t>
  </si>
  <si>
    <t>Vendor provided "right sized" based on existing hardware and utilization provided, reserved instances, 24x7</t>
  </si>
  <si>
    <t># Nodes</t>
  </si>
  <si>
    <t>Vendor CPU Mark</t>
  </si>
  <si>
    <t>AZURE TOTAL</t>
  </si>
  <si>
    <t>AZURE DELTA</t>
  </si>
  <si>
    <t>CPU Mark</t>
  </si>
  <si>
    <t xml:space="preserve"> CPU cores</t>
  </si>
  <si>
    <t>PENGUIN  TOTAL</t>
  </si>
  <si>
    <t>PENGUIN DELTA</t>
  </si>
  <si>
    <t xml:space="preserve">The above does not factor in vendor's higher speed network. </t>
  </si>
  <si>
    <t xml:space="preserve"> CPU Mark benchmark approximates hardware comparison.</t>
  </si>
  <si>
    <t>Three more scenarios hidden below</t>
  </si>
  <si>
    <t>Requested confirmation from vendor 11/10 that monthly costs are fixed for three years.</t>
  </si>
  <si>
    <t>Requested CPU Mark or other benchmark from vendor 11/10.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</si>
</sst>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$-409]#,##0;&quot;-&quot;[$$-409]#,##0"/>
    <numFmt numFmtId="165" formatCode="[$$-409]#,##0;[Red]&quot;-&quot;[$$-409]#,##0"/>
    <numFmt numFmtId="166" formatCode="&quot;$&quot;#,##0&quot; &quot;;[Red]&quot;($&quot;#,##0&quot;)&quot;"/>
    <numFmt numFmtId="167" formatCode="[$$-409]#,##0.00;[Red]&quot;-&quot;[$$-409]#,##0.00"/>
    <numFmt numFmtId="168" formatCode="&quot;$&quot;#,##0"/>
    <numFmt numFmtId="169" formatCode="&quot;$&quot;#,##0.00"/>
  </numFmts>
  <fonts count="15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0"/>
      <color theme="1"/>
      <name val="Liberation Sans"/>
    </font>
    <font>
      <sz val="10"/>
      <color theme="1"/>
      <name val="Liberation Sans"/>
    </font>
    <font>
      <sz val="10"/>
      <color rgb="FF000000"/>
      <name val="Liberation Sans"/>
    </font>
    <font>
      <b/>
      <sz val="10"/>
      <color rgb="FF000000"/>
      <name val="Liberation San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Liberation Sans"/>
    </font>
    <font>
      <sz val="10"/>
      <color rgb="FF002060"/>
      <name val="Liberation Sans"/>
    </font>
    <font>
      <sz val="11"/>
      <color rgb="FF002060"/>
      <name val="Liberation Sans"/>
    </font>
    <font>
      <sz val="11"/>
      <color rgb="FF9C0006"/>
      <name val="Calibri"/>
      <family val="2"/>
      <scheme val="minor"/>
    </font>
    <font>
      <b/>
      <sz val="10"/>
      <color rgb="FF002060"/>
      <name val="Liberation Sans"/>
    </font>
    <font>
      <i/>
      <sz val="11"/>
      <color theme="1"/>
      <name val="Liberation Sans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7" fontId="2" fillId="0" borderId="0"/>
    <xf numFmtId="0" fontId="12" fillId="4" borderId="0" applyNumberFormat="0" applyBorder="0" applyAlignment="0" applyProtection="0"/>
  </cellStyleXfs>
  <cellXfs count="117">
    <xf numFmtId="0" fontId="0" fillId="0" borderId="0" xfId="0"/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165" fontId="4" fillId="0" borderId="1" xfId="0" applyNumberFormat="1" applyFont="1" applyBorder="1"/>
    <xf numFmtId="165" fontId="4" fillId="0" borderId="0" xfId="0" applyNumberFormat="1" applyFont="1"/>
    <xf numFmtId="0" fontId="3" fillId="0" borderId="0" xfId="0" applyFont="1"/>
    <xf numFmtId="3" fontId="4" fillId="0" borderId="0" xfId="0" applyNumberFormat="1" applyFont="1"/>
    <xf numFmtId="165" fontId="3" fillId="3" borderId="0" xfId="0" applyNumberFormat="1" applyFont="1" applyFill="1"/>
    <xf numFmtId="49" fontId="4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horizontal="left" vertical="center" wrapText="1"/>
    </xf>
    <xf numFmtId="3" fontId="4" fillId="0" borderId="6" xfId="0" applyNumberFormat="1" applyFont="1" applyBorder="1"/>
    <xf numFmtId="49" fontId="3" fillId="0" borderId="5" xfId="0" applyNumberFormat="1" applyFont="1" applyBorder="1" applyAlignment="1">
      <alignment horizontal="left" vertical="center" wrapText="1"/>
    </xf>
    <xf numFmtId="3" fontId="3" fillId="0" borderId="6" xfId="0" applyNumberFormat="1" applyFont="1" applyBorder="1"/>
    <xf numFmtId="2" fontId="4" fillId="0" borderId="0" xfId="0" applyNumberFormat="1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8" xfId="0" applyFont="1" applyBorder="1"/>
    <xf numFmtId="2" fontId="4" fillId="0" borderId="8" xfId="0" applyNumberFormat="1" applyFont="1" applyBorder="1"/>
    <xf numFmtId="3" fontId="4" fillId="0" borderId="9" xfId="0" applyNumberFormat="1" applyFont="1" applyBorder="1"/>
    <xf numFmtId="49" fontId="4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6" fontId="4" fillId="0" borderId="1" xfId="0" applyNumberFormat="1" applyFont="1" applyBorder="1"/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/>
    <xf numFmtId="0" fontId="10" fillId="0" borderId="0" xfId="0" applyFont="1"/>
    <xf numFmtId="0" fontId="11" fillId="0" borderId="0" xfId="0" applyFont="1"/>
    <xf numFmtId="168" fontId="5" fillId="0" borderId="1" xfId="0" applyNumberFormat="1" applyFont="1" applyBorder="1" applyAlignment="1">
      <alignment vertical="center"/>
    </xf>
    <xf numFmtId="168" fontId="6" fillId="0" borderId="1" xfId="0" applyNumberFormat="1" applyFont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169" fontId="5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/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0" fillId="0" borderId="11" xfId="0" applyFont="1" applyBorder="1"/>
    <xf numFmtId="0" fontId="10" fillId="0" borderId="14" xfId="0" applyFont="1" applyBorder="1"/>
    <xf numFmtId="0" fontId="4" fillId="0" borderId="14" xfId="0" applyFont="1" applyBorder="1"/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5" borderId="16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/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15" xfId="0" applyFont="1" applyBorder="1"/>
    <xf numFmtId="0" fontId="3" fillId="0" borderId="14" xfId="0" applyFont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4" fillId="3" borderId="17" xfId="0" applyFont="1" applyFill="1" applyBorder="1"/>
    <xf numFmtId="0" fontId="4" fillId="0" borderId="17" xfId="0" applyFont="1" applyFill="1" applyBorder="1"/>
    <xf numFmtId="0" fontId="4" fillId="3" borderId="18" xfId="0" applyFont="1" applyFill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4" fillId="0" borderId="1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8" xfId="0" applyFont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2" fillId="4" borderId="0" xfId="5" applyAlignment="1">
      <alignment horizontal="center"/>
    </xf>
    <xf numFmtId="0" fontId="3" fillId="0" borderId="14" xfId="0" applyFont="1" applyBorder="1" applyAlignment="1">
      <alignment horizontal="center" vertical="center" wrapText="1"/>
    </xf>
  </cellXfs>
  <cellStyles count="6">
    <cellStyle name="Bad" xfId="5" builtinId="27"/>
    <cellStyle name="Heading" xfId="1"/>
    <cellStyle name="Heading1" xfId="2"/>
    <cellStyle name="Normal" xfId="0" builtinId="0" customBuiltin="1"/>
    <cellStyle name="Result" xfId="3"/>
    <cellStyle name="Result2" xfId="4"/>
  </cellStyles>
  <dxfs count="13"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Liberation Sa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4" displayName="__Anonymous_Sheet_DB__4" ref="B3:L147" headerRowCount="0" totalsRowShown="0" headerRowDxfId="12" dataDxfId="11">
  <sortState ref="B3:L147">
    <sortCondition descending="1" ref="L3:L147"/>
  </sortState>
  <tableColumns count="11">
    <tableColumn id="1" name="Column1" dataDxfId="10"/>
    <tableColumn id="2" name="Column2" dataDxfId="9"/>
    <tableColumn id="3" name="Column3" dataDxfId="8"/>
    <tableColumn id="4" name="Column4" dataDxfId="7"/>
    <tableColumn id="5" name="Column5" dataDxfId="6"/>
    <tableColumn id="6" name="Column6" dataDxfId="5"/>
    <tableColumn id="7" name="Column7" dataDxfId="4"/>
    <tableColumn id="8" name="Column8" dataDxfId="3"/>
    <tableColumn id="9" name="Column9" dataDxfId="2"/>
    <tableColumn id="10" name="Column10" dataDxfId="1"/>
    <tableColumn id="11" name="Column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"/>
  <sheetViews>
    <sheetView tabSelected="1" topLeftCell="D5" workbookViewId="0">
      <selection activeCell="M16" sqref="M16:X16"/>
    </sheetView>
  </sheetViews>
  <sheetFormatPr defaultRowHeight="13.2"/>
  <cols>
    <col min="1" max="1" width="34.296875" style="23" customWidth="1"/>
    <col min="2" max="2" width="8.796875" style="1" customWidth="1"/>
    <col min="3" max="3" width="6.796875" style="1" customWidth="1"/>
    <col min="4" max="4" width="10.09765625" style="1" customWidth="1"/>
    <col min="5" max="5" width="6.296875" style="1" customWidth="1"/>
    <col min="6" max="6" width="5" style="1" customWidth="1"/>
    <col min="7" max="7" width="10.09765625" style="1" customWidth="1"/>
    <col min="8" max="8" width="7.69921875" style="1" customWidth="1"/>
    <col min="9" max="9" width="5" style="1" customWidth="1"/>
    <col min="10" max="11" width="10.09765625" style="1" customWidth="1"/>
    <col min="12" max="12" width="6.69921875" style="1" customWidth="1"/>
    <col min="13" max="13" width="15.5" style="1" customWidth="1"/>
    <col min="14" max="14" width="6" style="1" customWidth="1"/>
    <col min="15" max="15" width="6.59765625" style="1" customWidth="1"/>
    <col min="16" max="16" width="7" style="1" customWidth="1"/>
    <col min="17" max="18" width="6.69921875" style="1" customWidth="1"/>
    <col min="19" max="19" width="7.09765625" style="1" customWidth="1"/>
    <col min="20" max="20" width="5.59765625" style="1" customWidth="1"/>
    <col min="21" max="21" width="7.59765625" style="1" customWidth="1"/>
    <col min="22" max="24" width="10.69921875" style="1" customWidth="1"/>
    <col min="25" max="25" width="10.59765625" style="1" hidden="1" customWidth="1"/>
    <col min="26" max="16384" width="8.796875" style="1"/>
  </cols>
  <sheetData>
    <row r="1" spans="1:25" ht="13.8" thickBot="1">
      <c r="A1" s="44"/>
      <c r="B1" s="45"/>
      <c r="C1" s="45"/>
      <c r="D1" s="46"/>
      <c r="E1" s="45"/>
      <c r="F1" s="45"/>
      <c r="G1" s="46"/>
      <c r="H1" s="45"/>
      <c r="I1" s="45"/>
      <c r="J1" s="46"/>
      <c r="K1" s="46"/>
    </row>
    <row r="2" spans="1:25">
      <c r="A2" s="58" t="s">
        <v>233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 s="98" t="s">
        <v>18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5">
      <c r="A3" s="24"/>
      <c r="B3" s="57">
        <v>2018</v>
      </c>
      <c r="C3" s="57"/>
      <c r="D3" s="57"/>
      <c r="E3" s="57">
        <v>2019</v>
      </c>
      <c r="F3" s="57"/>
      <c r="G3" s="57"/>
      <c r="H3" s="57">
        <v>2020</v>
      </c>
      <c r="I3" s="57"/>
      <c r="J3" s="57"/>
      <c r="K3" s="57" t="s">
        <v>0</v>
      </c>
      <c r="M3" s="71"/>
      <c r="N3" s="95"/>
      <c r="O3" s="96" t="s">
        <v>20</v>
      </c>
      <c r="P3" s="96"/>
      <c r="Q3" s="96"/>
      <c r="R3" s="96"/>
      <c r="S3" s="95"/>
      <c r="T3" s="96" t="s">
        <v>21</v>
      </c>
      <c r="U3" s="96"/>
      <c r="V3" s="96"/>
      <c r="W3" s="96"/>
      <c r="X3" s="101"/>
    </row>
    <row r="4" spans="1:25" ht="39.6">
      <c r="A4" s="24" t="s">
        <v>1</v>
      </c>
      <c r="B4" s="26" t="s">
        <v>2</v>
      </c>
      <c r="C4" s="26" t="s">
        <v>3</v>
      </c>
      <c r="D4" s="26" t="s">
        <v>4</v>
      </c>
      <c r="E4" s="26" t="s">
        <v>2</v>
      </c>
      <c r="F4" s="26" t="s">
        <v>3</v>
      </c>
      <c r="G4" s="26" t="s">
        <v>4</v>
      </c>
      <c r="H4" s="26" t="s">
        <v>2</v>
      </c>
      <c r="I4" s="26" t="s">
        <v>3</v>
      </c>
      <c r="J4" s="26" t="s">
        <v>4</v>
      </c>
      <c r="K4" s="57"/>
      <c r="M4" s="71"/>
      <c r="N4" s="63" t="s">
        <v>24</v>
      </c>
      <c r="O4" s="63" t="s">
        <v>25</v>
      </c>
      <c r="P4" s="63" t="s">
        <v>26</v>
      </c>
      <c r="Q4" s="63" t="s">
        <v>27</v>
      </c>
      <c r="R4" s="63" t="s">
        <v>28</v>
      </c>
      <c r="S4" s="63" t="s">
        <v>264</v>
      </c>
      <c r="T4" s="63" t="s">
        <v>25</v>
      </c>
      <c r="U4" s="63" t="s">
        <v>26</v>
      </c>
      <c r="V4" s="63" t="s">
        <v>265</v>
      </c>
      <c r="W4" s="63" t="s">
        <v>28</v>
      </c>
      <c r="X4" s="72" t="s">
        <v>264</v>
      </c>
      <c r="Y4" s="47"/>
    </row>
    <row r="5" spans="1:25">
      <c r="A5" s="27" t="s">
        <v>237</v>
      </c>
      <c r="B5" s="34">
        <f>5-Y5</f>
        <v>3</v>
      </c>
      <c r="C5" s="34">
        <f>1737*12</f>
        <v>20844</v>
      </c>
      <c r="D5" s="35">
        <f t="shared" ref="D5:D11" si="0">B5*C5</f>
        <v>62532</v>
      </c>
      <c r="E5" s="34"/>
      <c r="F5" s="34"/>
      <c r="G5" s="35">
        <f t="shared" ref="G5:G10" si="1">D5</f>
        <v>62532</v>
      </c>
      <c r="H5" s="34"/>
      <c r="I5" s="34"/>
      <c r="J5" s="35">
        <f t="shared" ref="J5:J10" si="2">G5</f>
        <v>62532</v>
      </c>
      <c r="K5" s="34"/>
      <c r="M5" s="71"/>
      <c r="N5" s="62">
        <f>B5</f>
        <v>3</v>
      </c>
      <c r="O5" s="62">
        <v>4</v>
      </c>
      <c r="P5" s="62">
        <v>3584</v>
      </c>
      <c r="Q5" s="62">
        <v>40</v>
      </c>
      <c r="R5" s="62">
        <v>64</v>
      </c>
      <c r="S5" s="97">
        <v>30000</v>
      </c>
      <c r="T5" s="62">
        <f>B5*O5</f>
        <v>12</v>
      </c>
      <c r="U5" s="62">
        <f>B5*O5*P5</f>
        <v>43008</v>
      </c>
      <c r="V5" s="62">
        <f>B5*Q5</f>
        <v>120</v>
      </c>
      <c r="W5" s="62">
        <f>B5*R5</f>
        <v>192</v>
      </c>
      <c r="X5" s="89">
        <f>S5*B5</f>
        <v>90000</v>
      </c>
      <c r="Y5" s="1">
        <v>2</v>
      </c>
    </row>
    <row r="6" spans="1:25">
      <c r="A6" s="27" t="s">
        <v>5</v>
      </c>
      <c r="B6" s="34">
        <f>12-Y6</f>
        <v>9</v>
      </c>
      <c r="C6" s="34">
        <f>1066*12</f>
        <v>12792</v>
      </c>
      <c r="D6" s="35">
        <f t="shared" si="0"/>
        <v>115128</v>
      </c>
      <c r="E6" s="34"/>
      <c r="F6" s="34"/>
      <c r="G6" s="35">
        <f t="shared" si="1"/>
        <v>115128</v>
      </c>
      <c r="H6" s="34"/>
      <c r="I6" s="34"/>
      <c r="J6" s="35">
        <f t="shared" si="2"/>
        <v>115128</v>
      </c>
      <c r="K6" s="34"/>
      <c r="M6" s="71"/>
      <c r="N6" s="62">
        <f t="shared" ref="N6:N10" si="3">B6</f>
        <v>9</v>
      </c>
      <c r="O6" s="62"/>
      <c r="P6" s="62"/>
      <c r="Q6" s="62">
        <v>28</v>
      </c>
      <c r="R6" s="62">
        <v>256</v>
      </c>
      <c r="S6" s="97">
        <v>23368</v>
      </c>
      <c r="T6" s="62"/>
      <c r="U6" s="62"/>
      <c r="V6" s="62">
        <f>B6*Q6</f>
        <v>252</v>
      </c>
      <c r="W6" s="62">
        <f t="shared" ref="W6:W10" si="4">B6*R6</f>
        <v>2304</v>
      </c>
      <c r="X6" s="89">
        <f>S6*B6</f>
        <v>210312</v>
      </c>
      <c r="Y6" s="1">
        <v>3</v>
      </c>
    </row>
    <row r="7" spans="1:25">
      <c r="A7" s="27" t="s">
        <v>6</v>
      </c>
      <c r="B7" s="34">
        <f>3+1-Y7</f>
        <v>4</v>
      </c>
      <c r="C7" s="34">
        <f>12*807</f>
        <v>9684</v>
      </c>
      <c r="D7" s="35">
        <f t="shared" si="0"/>
        <v>38736</v>
      </c>
      <c r="E7" s="34"/>
      <c r="F7" s="34"/>
      <c r="G7" s="35">
        <f t="shared" si="1"/>
        <v>38736</v>
      </c>
      <c r="H7" s="34"/>
      <c r="I7" s="34"/>
      <c r="J7" s="35">
        <f t="shared" si="2"/>
        <v>38736</v>
      </c>
      <c r="K7" s="34"/>
      <c r="M7" s="71"/>
      <c r="N7" s="62">
        <f t="shared" si="3"/>
        <v>4</v>
      </c>
      <c r="O7" s="62"/>
      <c r="P7" s="62"/>
      <c r="Q7" s="62">
        <v>20</v>
      </c>
      <c r="R7" s="62">
        <v>128</v>
      </c>
      <c r="S7" s="97">
        <v>22733</v>
      </c>
      <c r="T7" s="62"/>
      <c r="U7" s="62"/>
      <c r="V7" s="62">
        <f>B7*Q7</f>
        <v>80</v>
      </c>
      <c r="W7" s="62">
        <f t="shared" si="4"/>
        <v>512</v>
      </c>
      <c r="X7" s="89">
        <f>S7*B7</f>
        <v>90932</v>
      </c>
      <c r="Y7" s="1">
        <v>0</v>
      </c>
    </row>
    <row r="8" spans="1:25" ht="26.4">
      <c r="A8" s="27" t="s">
        <v>7</v>
      </c>
      <c r="B8" s="34">
        <f>2+1+8+2+9-Y8</f>
        <v>18</v>
      </c>
      <c r="C8" s="34">
        <f>12*575</f>
        <v>6900</v>
      </c>
      <c r="D8" s="35">
        <f t="shared" si="0"/>
        <v>124200</v>
      </c>
      <c r="E8" s="34"/>
      <c r="F8" s="34"/>
      <c r="G8" s="35">
        <f t="shared" si="1"/>
        <v>124200</v>
      </c>
      <c r="H8" s="34"/>
      <c r="I8" s="34"/>
      <c r="J8" s="35">
        <f t="shared" si="2"/>
        <v>124200</v>
      </c>
      <c r="K8" s="34"/>
      <c r="M8" s="71"/>
      <c r="N8" s="62">
        <f t="shared" si="3"/>
        <v>18</v>
      </c>
      <c r="O8" s="62"/>
      <c r="P8" s="62"/>
      <c r="Q8" s="62">
        <v>16</v>
      </c>
      <c r="R8" s="62">
        <v>64</v>
      </c>
      <c r="S8" s="97">
        <v>18303</v>
      </c>
      <c r="T8" s="62"/>
      <c r="U8" s="62"/>
      <c r="V8" s="62">
        <f>B8*Q8</f>
        <v>288</v>
      </c>
      <c r="W8" s="62">
        <f t="shared" si="4"/>
        <v>1152</v>
      </c>
      <c r="X8" s="89">
        <f>S8*B8</f>
        <v>329454</v>
      </c>
      <c r="Y8" s="1">
        <v>4</v>
      </c>
    </row>
    <row r="9" spans="1:25" ht="26.4">
      <c r="A9" s="27" t="s">
        <v>8</v>
      </c>
      <c r="B9" s="34">
        <f>314+1+8+2-Y9</f>
        <v>225</v>
      </c>
      <c r="C9" s="34">
        <f>12*395</f>
        <v>4740</v>
      </c>
      <c r="D9" s="35">
        <f t="shared" si="0"/>
        <v>1066500</v>
      </c>
      <c r="E9" s="34"/>
      <c r="F9" s="34"/>
      <c r="G9" s="35">
        <f t="shared" si="1"/>
        <v>1066500</v>
      </c>
      <c r="H9" s="34"/>
      <c r="I9" s="34"/>
      <c r="J9" s="35">
        <f t="shared" si="2"/>
        <v>1066500</v>
      </c>
      <c r="K9" s="34"/>
      <c r="M9" s="71"/>
      <c r="N9" s="62">
        <f t="shared" si="3"/>
        <v>225</v>
      </c>
      <c r="O9" s="62"/>
      <c r="P9" s="62"/>
      <c r="Q9" s="62">
        <v>12</v>
      </c>
      <c r="R9" s="62">
        <v>48</v>
      </c>
      <c r="S9" s="97">
        <v>12712</v>
      </c>
      <c r="T9" s="62"/>
      <c r="U9" s="62"/>
      <c r="V9" s="62">
        <f>B9*Q9</f>
        <v>2700</v>
      </c>
      <c r="W9" s="62">
        <f t="shared" si="4"/>
        <v>10800</v>
      </c>
      <c r="X9" s="89">
        <f>S9*B9</f>
        <v>2860200</v>
      </c>
      <c r="Y9" s="1">
        <v>100</v>
      </c>
    </row>
    <row r="10" spans="1:25" ht="26.4">
      <c r="A10" s="27" t="s">
        <v>239</v>
      </c>
      <c r="B10" s="34">
        <f>2+2-Y10</f>
        <v>4</v>
      </c>
      <c r="C10" s="34">
        <f>12*1615</f>
        <v>19380</v>
      </c>
      <c r="D10" s="35">
        <f t="shared" si="0"/>
        <v>77520</v>
      </c>
      <c r="E10" s="34"/>
      <c r="F10" s="34"/>
      <c r="G10" s="35">
        <f t="shared" si="1"/>
        <v>77520</v>
      </c>
      <c r="H10" s="34"/>
      <c r="I10" s="34"/>
      <c r="J10" s="35">
        <f t="shared" si="2"/>
        <v>77520</v>
      </c>
      <c r="K10" s="34"/>
      <c r="M10" s="71"/>
      <c r="N10" s="62">
        <f t="shared" si="3"/>
        <v>4</v>
      </c>
      <c r="O10" s="62">
        <v>2</v>
      </c>
      <c r="P10" s="62">
        <v>2880</v>
      </c>
      <c r="Q10" s="62">
        <v>16</v>
      </c>
      <c r="R10" s="62">
        <v>64</v>
      </c>
      <c r="S10" s="97">
        <v>18303</v>
      </c>
      <c r="T10" s="62">
        <f>B10*O10</f>
        <v>8</v>
      </c>
      <c r="U10" s="62">
        <f>B10*O10*P10</f>
        <v>23040</v>
      </c>
      <c r="V10" s="62">
        <f>B10*Q10</f>
        <v>64</v>
      </c>
      <c r="W10" s="62">
        <f t="shared" si="4"/>
        <v>256</v>
      </c>
      <c r="X10" s="89">
        <f>S10*B10</f>
        <v>73212</v>
      </c>
      <c r="Y10" s="1">
        <v>0</v>
      </c>
    </row>
    <row r="11" spans="1:25" ht="26.4">
      <c r="A11" s="27" t="s">
        <v>9</v>
      </c>
      <c r="B11" s="36">
        <f>'NJIT storage'!D11</f>
        <v>69782.899999999994</v>
      </c>
      <c r="C11" s="34">
        <f>0.07*12</f>
        <v>0.84000000000000008</v>
      </c>
      <c r="D11" s="35">
        <f t="shared" si="0"/>
        <v>58617.635999999999</v>
      </c>
      <c r="E11" s="36">
        <f>'NJIT storage'!D12</f>
        <v>83739.48</v>
      </c>
      <c r="F11" s="34">
        <f>C11</f>
        <v>0.84000000000000008</v>
      </c>
      <c r="G11" s="35">
        <f>E11*F11</f>
        <v>70341.16320000001</v>
      </c>
      <c r="H11" s="36">
        <f>'NJIT storage'!D13</f>
        <v>100487.37599999999</v>
      </c>
      <c r="I11" s="34">
        <f>C11</f>
        <v>0.84000000000000008</v>
      </c>
      <c r="J11" s="35">
        <f>H11*I11</f>
        <v>84409.395839999997</v>
      </c>
      <c r="K11" s="34"/>
      <c r="M11" s="7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89"/>
    </row>
    <row r="12" spans="1:25" ht="26.4">
      <c r="A12" s="27" t="s">
        <v>10</v>
      </c>
      <c r="B12" s="34"/>
      <c r="C12" s="34">
        <f>0.03*12</f>
        <v>0.36</v>
      </c>
      <c r="D12" s="35">
        <f>B11*C12</f>
        <v>25121.843999999997</v>
      </c>
      <c r="E12" s="34"/>
      <c r="F12" s="34">
        <f>0.03*12</f>
        <v>0.36</v>
      </c>
      <c r="G12" s="35">
        <f>E11*F12</f>
        <v>30146.212799999998</v>
      </c>
      <c r="H12" s="34"/>
      <c r="I12" s="34">
        <f>0.03*12</f>
        <v>0.36</v>
      </c>
      <c r="J12" s="35">
        <f>H11*I12</f>
        <v>36175.455359999993</v>
      </c>
      <c r="K12" s="34"/>
      <c r="M12" s="7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89"/>
    </row>
    <row r="13" spans="1:25">
      <c r="A13" s="30" t="s">
        <v>11</v>
      </c>
      <c r="B13" s="38"/>
      <c r="C13" s="38"/>
      <c r="D13" s="39">
        <f>SUM(D5:D12)</f>
        <v>1568355.48</v>
      </c>
      <c r="E13" s="38"/>
      <c r="F13" s="38"/>
      <c r="G13" s="39">
        <f>SUM(G5:G12)</f>
        <v>1585103.3760000002</v>
      </c>
      <c r="H13" s="38"/>
      <c r="I13" s="38"/>
      <c r="J13" s="39">
        <f>SUM(J5:J12)</f>
        <v>1605200.8511999999</v>
      </c>
      <c r="K13" s="39">
        <f>SUM(D13:J13)</f>
        <v>4758659.7072000001</v>
      </c>
      <c r="M13" s="74" t="s">
        <v>266</v>
      </c>
      <c r="N13" s="64">
        <f>SUM(N5:N12)</f>
        <v>263</v>
      </c>
      <c r="O13" s="67"/>
      <c r="P13" s="67"/>
      <c r="Q13" s="67"/>
      <c r="R13" s="67"/>
      <c r="S13" s="67"/>
      <c r="T13" s="64">
        <f>SUM(T5:T12)</f>
        <v>20</v>
      </c>
      <c r="U13" s="64">
        <f>SUM(U5:U12)</f>
        <v>66048</v>
      </c>
      <c r="V13" s="64">
        <f>SUM(V5:V12)</f>
        <v>3504</v>
      </c>
      <c r="W13" s="64">
        <f>SUM(W5:W12)</f>
        <v>15216</v>
      </c>
      <c r="X13" s="73">
        <f>SUM(X5:X12)</f>
        <v>3654110</v>
      </c>
    </row>
    <row r="14" spans="1:25" ht="26.4">
      <c r="A14" s="27" t="s">
        <v>12</v>
      </c>
      <c r="B14" s="34"/>
      <c r="C14" s="34"/>
      <c r="D14" s="29">
        <f>'NJIT costs'!D17</f>
        <v>97695</v>
      </c>
      <c r="E14" s="34"/>
      <c r="F14" s="34"/>
      <c r="G14" s="29">
        <f>'NJIT costs'!G17</f>
        <v>26229</v>
      </c>
      <c r="H14" s="34"/>
      <c r="I14" s="34"/>
      <c r="J14" s="29">
        <f>'NJIT costs'!J17</f>
        <v>4000</v>
      </c>
      <c r="K14" s="39"/>
      <c r="M14" s="85" t="s">
        <v>37</v>
      </c>
      <c r="N14" s="64">
        <v>373</v>
      </c>
      <c r="O14" s="64"/>
      <c r="P14" s="64"/>
      <c r="Q14" s="64"/>
      <c r="R14" s="64"/>
      <c r="S14" s="68"/>
      <c r="T14" s="64">
        <v>20</v>
      </c>
      <c r="U14" s="64">
        <v>61912</v>
      </c>
      <c r="V14" s="64">
        <v>3448</v>
      </c>
      <c r="W14" s="64">
        <v>29440</v>
      </c>
      <c r="X14" s="73">
        <f>4388548</f>
        <v>4388548</v>
      </c>
    </row>
    <row r="15" spans="1:25" ht="13.8" thickBot="1">
      <c r="A15" s="40" t="s">
        <v>13</v>
      </c>
      <c r="B15" s="41"/>
      <c r="C15" s="41"/>
      <c r="D15" s="42">
        <f>SUM(D13:D14)</f>
        <v>1666050.48</v>
      </c>
      <c r="E15" s="41"/>
      <c r="F15" s="41"/>
      <c r="G15" s="42">
        <f>SUM(G13:G14)</f>
        <v>1611332.3760000002</v>
      </c>
      <c r="H15" s="41"/>
      <c r="I15" s="41"/>
      <c r="J15" s="42">
        <f>SUM(J13:J14)</f>
        <v>1609200.8511999999</v>
      </c>
      <c r="K15" s="42">
        <f>SUM(D15:J15)</f>
        <v>4886583.7072000001</v>
      </c>
      <c r="M15" s="77" t="s">
        <v>267</v>
      </c>
      <c r="N15" s="78">
        <f>N13-N14</f>
        <v>-110</v>
      </c>
      <c r="O15" s="75"/>
      <c r="P15" s="75"/>
      <c r="Q15" s="75"/>
      <c r="R15" s="75"/>
      <c r="S15" s="76"/>
      <c r="T15" s="78">
        <f>T13-T14</f>
        <v>0</v>
      </c>
      <c r="U15" s="78">
        <f>U13-U14</f>
        <v>4136</v>
      </c>
      <c r="V15" s="78">
        <f>V13-V14</f>
        <v>56</v>
      </c>
      <c r="W15" s="78">
        <f t="shared" ref="W15:X15" si="5">W13-W14</f>
        <v>-14224</v>
      </c>
      <c r="X15" s="79">
        <f t="shared" si="5"/>
        <v>-734438</v>
      </c>
    </row>
    <row r="16" spans="1:25" ht="13.8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M16" s="103" t="s">
        <v>268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>
      <c r="A17" s="58" t="s">
        <v>234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M17" s="56" t="s">
        <v>269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>
      <c r="A18" s="24"/>
      <c r="B18" s="57">
        <v>2018</v>
      </c>
      <c r="C18" s="57"/>
      <c r="D18" s="57"/>
      <c r="E18" s="57">
        <v>2019</v>
      </c>
      <c r="F18" s="57"/>
      <c r="G18" s="57"/>
      <c r="H18" s="57">
        <v>2020</v>
      </c>
      <c r="I18" s="57"/>
      <c r="J18" s="57"/>
      <c r="K18" s="57" t="s">
        <v>0</v>
      </c>
    </row>
    <row r="19" spans="1:24" ht="39.6">
      <c r="A19" s="24" t="s">
        <v>1</v>
      </c>
      <c r="B19" s="26" t="s">
        <v>2</v>
      </c>
      <c r="C19" s="26" t="s">
        <v>3</v>
      </c>
      <c r="D19" s="26" t="s">
        <v>4</v>
      </c>
      <c r="E19" s="26" t="s">
        <v>2</v>
      </c>
      <c r="F19" s="26" t="s">
        <v>3</v>
      </c>
      <c r="G19" s="26" t="s">
        <v>4</v>
      </c>
      <c r="H19" s="26" t="s">
        <v>2</v>
      </c>
      <c r="I19" s="26" t="s">
        <v>3</v>
      </c>
      <c r="J19" s="26" t="s">
        <v>4</v>
      </c>
      <c r="K19" s="57"/>
    </row>
    <row r="20" spans="1:24" ht="26.4">
      <c r="A20" s="27" t="s">
        <v>14</v>
      </c>
      <c r="B20" s="34">
        <f>'NJIT usage'!D148</f>
        <v>19391680.200000029</v>
      </c>
      <c r="C20" s="34">
        <f>0.08</f>
        <v>0.08</v>
      </c>
      <c r="D20" s="35">
        <f>B20*C20</f>
        <v>1551334.4160000023</v>
      </c>
      <c r="E20" s="34"/>
      <c r="F20" s="34"/>
      <c r="G20" s="35">
        <f>D20</f>
        <v>1551334.4160000023</v>
      </c>
      <c r="H20" s="34"/>
      <c r="I20" s="34"/>
      <c r="J20" s="35">
        <f>G20</f>
        <v>1551334.4160000023</v>
      </c>
      <c r="K20" s="34"/>
    </row>
    <row r="21" spans="1:24">
      <c r="A21" s="27" t="s">
        <v>15</v>
      </c>
      <c r="B21" s="34">
        <f>'NJIT usage'!E148</f>
        <v>11106145.099999994</v>
      </c>
      <c r="C21" s="34">
        <f>0.022</f>
        <v>2.1999999999999999E-2</v>
      </c>
      <c r="D21" s="35">
        <f>B21*C21</f>
        <v>244335.19219999984</v>
      </c>
      <c r="E21" s="34"/>
      <c r="F21" s="34"/>
      <c r="G21" s="35">
        <f>D21</f>
        <v>244335.19219999984</v>
      </c>
      <c r="H21" s="34"/>
      <c r="I21" s="34"/>
      <c r="J21" s="35">
        <f>G21</f>
        <v>244335.19219999984</v>
      </c>
      <c r="K21" s="34"/>
    </row>
    <row r="22" spans="1:24">
      <c r="A22" s="27" t="s">
        <v>16</v>
      </c>
      <c r="B22" s="34">
        <f>'NJIT usage'!F148</f>
        <v>22410.799999999988</v>
      </c>
      <c r="C22" s="34">
        <f>1.28</f>
        <v>1.28</v>
      </c>
      <c r="D22" s="35">
        <f>B22*C22</f>
        <v>28685.823999999986</v>
      </c>
      <c r="E22" s="34"/>
      <c r="F22" s="34"/>
      <c r="G22" s="35">
        <f>D22</f>
        <v>28685.823999999986</v>
      </c>
      <c r="H22" s="34"/>
      <c r="I22" s="34"/>
      <c r="J22" s="35">
        <f>G22</f>
        <v>28685.823999999986</v>
      </c>
      <c r="K22" s="34"/>
    </row>
    <row r="23" spans="1:24" ht="26.4">
      <c r="A23" s="27" t="s">
        <v>9</v>
      </c>
      <c r="B23" s="36">
        <f>'NJIT storage'!D11</f>
        <v>69782.899999999994</v>
      </c>
      <c r="C23" s="34">
        <f>0.07*12</f>
        <v>0.84000000000000008</v>
      </c>
      <c r="D23" s="35">
        <f>B23*C23</f>
        <v>58617.635999999999</v>
      </c>
      <c r="E23" s="36">
        <f>'NJIT storage'!D12</f>
        <v>83739.48</v>
      </c>
      <c r="F23" s="34">
        <f>C23</f>
        <v>0.84000000000000008</v>
      </c>
      <c r="G23" s="35">
        <f>E23*F23</f>
        <v>70341.16320000001</v>
      </c>
      <c r="H23" s="36">
        <f>'NJIT storage'!D13</f>
        <v>100487.37599999999</v>
      </c>
      <c r="I23" s="34">
        <f>C23</f>
        <v>0.84000000000000008</v>
      </c>
      <c r="J23" s="35">
        <f>H23*I23</f>
        <v>84409.395839999997</v>
      </c>
      <c r="K23" s="34"/>
    </row>
    <row r="24" spans="1:24" ht="26.4">
      <c r="A24" s="27" t="s">
        <v>10</v>
      </c>
      <c r="B24" s="34"/>
      <c r="C24" s="34">
        <f>0.03*12</f>
        <v>0.36</v>
      </c>
      <c r="D24" s="35">
        <f>B23*C24</f>
        <v>25121.843999999997</v>
      </c>
      <c r="E24" s="34"/>
      <c r="F24" s="34">
        <f>0.03*12</f>
        <v>0.36</v>
      </c>
      <c r="G24" s="35">
        <f>E23*F24</f>
        <v>30146.212799999998</v>
      </c>
      <c r="H24" s="34"/>
      <c r="I24" s="34">
        <f>0.03*12</f>
        <v>0.36</v>
      </c>
      <c r="J24" s="35">
        <f>H23*I24</f>
        <v>36175.455359999993</v>
      </c>
      <c r="K24" s="34"/>
    </row>
    <row r="25" spans="1:24">
      <c r="A25" s="30" t="s">
        <v>11</v>
      </c>
      <c r="B25" s="38"/>
      <c r="C25" s="38"/>
      <c r="D25" s="39">
        <f>SUM(D20:D24)</f>
        <v>1908094.9122000022</v>
      </c>
      <c r="E25" s="38"/>
      <c r="F25" s="38"/>
      <c r="G25" s="39">
        <f>SUM(G20:G24)</f>
        <v>1924842.8082000024</v>
      </c>
      <c r="H25" s="38"/>
      <c r="I25" s="38"/>
      <c r="J25" s="39">
        <f>SUM(J20:J24)</f>
        <v>1944940.2834000022</v>
      </c>
      <c r="K25" s="39">
        <f>SUM(D25:J25)</f>
        <v>5777878.0038000066</v>
      </c>
    </row>
    <row r="26" spans="1:24">
      <c r="A26" s="27" t="s">
        <v>12</v>
      </c>
      <c r="B26" s="34"/>
      <c r="C26" s="34"/>
      <c r="D26" s="29">
        <f>'NJIT costs'!D17</f>
        <v>97695</v>
      </c>
      <c r="E26" s="34"/>
      <c r="F26" s="34"/>
      <c r="G26" s="29">
        <f>'NJIT costs'!G17</f>
        <v>26229</v>
      </c>
      <c r="H26" s="34"/>
      <c r="I26" s="34"/>
      <c r="J26" s="29">
        <f>'NJIT costs'!J17</f>
        <v>4000</v>
      </c>
      <c r="K26" s="39"/>
    </row>
    <row r="27" spans="1:24">
      <c r="A27" s="40" t="s">
        <v>13</v>
      </c>
      <c r="B27" s="41"/>
      <c r="C27" s="41"/>
      <c r="D27" s="42">
        <f>SUM(D25:D26)</f>
        <v>2005789.9122000022</v>
      </c>
      <c r="E27" s="41"/>
      <c r="F27" s="41"/>
      <c r="G27" s="42">
        <f>SUM(G25:G26)</f>
        <v>1951071.8082000024</v>
      </c>
      <c r="H27" s="41"/>
      <c r="I27" s="41"/>
      <c r="J27" s="42">
        <f>SUM(J25:J26)</f>
        <v>1948940.2834000022</v>
      </c>
      <c r="K27" s="42">
        <f>SUM(D27:J27)</f>
        <v>5905802.0038000066</v>
      </c>
    </row>
    <row r="31" spans="1:24" ht="39.6" hidden="1">
      <c r="A31" s="23" t="s">
        <v>238</v>
      </c>
    </row>
  </sheetData>
  <mergeCells count="15">
    <mergeCell ref="O3:R3"/>
    <mergeCell ref="T3:X3"/>
    <mergeCell ref="M2:X2"/>
    <mergeCell ref="M16:X16"/>
    <mergeCell ref="M17:X17"/>
    <mergeCell ref="A2:K2"/>
    <mergeCell ref="B3:D3"/>
    <mergeCell ref="E3:G3"/>
    <mergeCell ref="H3:J3"/>
    <mergeCell ref="K3:K4"/>
    <mergeCell ref="B18:D18"/>
    <mergeCell ref="E18:G18"/>
    <mergeCell ref="H18:J18"/>
    <mergeCell ref="K18:K19"/>
    <mergeCell ref="A17:K17"/>
  </mergeCells>
  <pageMargins left="0.25" right="0.25" top="0.45" bottom="0.45" header="0.25" footer="0.25"/>
  <pageSetup fitToWidth="0" fitToHeight="0" pageOrder="overThenDown" orientation="landscape" useFirstPageNumber="1" r:id="rId1"/>
  <headerFooter alignWithMargins="0">
    <oddHeader>&amp;L*** PRELIMINARY ***&amp;CHPC Off-Premise Three year Cost Analysis&amp;R*** ESTIMATE ***</oddHeader>
    <oddFooter>&amp;L&amp;D &amp;T&amp;C"&amp;A" sheet&amp;RPage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M5" sqref="M5"/>
    </sheetView>
  </sheetViews>
  <sheetFormatPr defaultRowHeight="13.2"/>
  <cols>
    <col min="1" max="1" width="21.3984375" style="1" customWidth="1"/>
    <col min="2" max="2" width="6.296875" style="1" customWidth="1"/>
    <col min="3" max="3" width="9.59765625" style="1" customWidth="1"/>
    <col min="4" max="4" width="10.59765625" style="1" customWidth="1"/>
    <col min="5" max="5" width="6.69921875" style="1" customWidth="1"/>
    <col min="6" max="6" width="8.59765625" style="1" customWidth="1"/>
    <col min="7" max="7" width="10.09765625" style="1" customWidth="1"/>
    <col min="8" max="8" width="6.09765625" style="1" customWidth="1"/>
    <col min="9" max="9" width="8.59765625" style="1" customWidth="1"/>
    <col min="10" max="11" width="10.09765625" style="1" customWidth="1"/>
    <col min="12" max="12" width="10.69921875" style="1" customWidth="1"/>
    <col min="13" max="13" width="42.09765625" style="1" customWidth="1"/>
    <col min="14" max="15" width="6.09765625" style="1" customWidth="1"/>
    <col min="16" max="16" width="7.19921875" style="1" customWidth="1"/>
    <col min="17" max="17" width="5.69921875" style="1" customWidth="1"/>
    <col min="18" max="18" width="4.796875" style="1" customWidth="1"/>
    <col min="19" max="19" width="5.796875" style="1" customWidth="1"/>
    <col min="20" max="20" width="5.296875" style="1" customWidth="1"/>
    <col min="21" max="21" width="6.8984375" style="1" customWidth="1"/>
    <col min="22" max="22" width="6.59765625" style="1" customWidth="1"/>
    <col min="23" max="23" width="6.09765625" style="1" customWidth="1"/>
    <col min="24" max="24" width="5.3984375" style="1" customWidth="1"/>
    <col min="25" max="1026" width="10.69921875" style="1" customWidth="1"/>
    <col min="1027" max="16384" width="8.796875" style="1"/>
  </cols>
  <sheetData>
    <row r="1" spans="1:24" ht="13.8" thickBot="1"/>
    <row r="2" spans="1:24" ht="13.8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 s="107" t="s">
        <v>18</v>
      </c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9"/>
    </row>
    <row r="3" spans="1:24">
      <c r="A3" s="24"/>
      <c r="B3" s="57">
        <v>2018</v>
      </c>
      <c r="C3" s="57"/>
      <c r="D3" s="57"/>
      <c r="E3" s="57">
        <v>2019</v>
      </c>
      <c r="F3" s="57"/>
      <c r="G3" s="57"/>
      <c r="H3" s="57">
        <v>2020</v>
      </c>
      <c r="I3" s="57"/>
      <c r="J3" s="57"/>
      <c r="K3" s="57" t="s">
        <v>0</v>
      </c>
      <c r="M3" s="110" t="s">
        <v>19</v>
      </c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2"/>
    </row>
    <row r="4" spans="1:24" ht="26.4">
      <c r="A4" s="24" t="s">
        <v>1</v>
      </c>
      <c r="B4" s="26" t="s">
        <v>2</v>
      </c>
      <c r="C4" s="26" t="s">
        <v>3</v>
      </c>
      <c r="D4" s="26" t="s">
        <v>4</v>
      </c>
      <c r="E4" s="26" t="s">
        <v>2</v>
      </c>
      <c r="F4" s="26" t="s">
        <v>3</v>
      </c>
      <c r="G4" s="26" t="s">
        <v>4</v>
      </c>
      <c r="H4" s="26" t="s">
        <v>2</v>
      </c>
      <c r="I4" s="26" t="s">
        <v>3</v>
      </c>
      <c r="J4" s="26" t="s">
        <v>4</v>
      </c>
      <c r="K4" s="57"/>
      <c r="M4" s="71"/>
      <c r="N4" s="62"/>
      <c r="O4" s="86" t="s">
        <v>20</v>
      </c>
      <c r="P4" s="86"/>
      <c r="Q4" s="86"/>
      <c r="R4" s="86"/>
      <c r="S4" s="86"/>
      <c r="T4" s="86" t="s">
        <v>21</v>
      </c>
      <c r="U4" s="86"/>
      <c r="V4" s="86"/>
      <c r="W4" s="86"/>
      <c r="X4" s="87"/>
    </row>
    <row r="5" spans="1:24" ht="26.4">
      <c r="A5" s="27" t="s">
        <v>22</v>
      </c>
      <c r="B5" s="33"/>
      <c r="C5" s="34"/>
      <c r="D5" s="35">
        <f>2667496.34</f>
        <v>2667496.34</v>
      </c>
      <c r="E5" s="34"/>
      <c r="F5" s="34"/>
      <c r="G5" s="35"/>
      <c r="H5" s="34"/>
      <c r="I5" s="34"/>
      <c r="J5" s="35"/>
      <c r="K5" s="34"/>
      <c r="M5" s="116" t="s">
        <v>23</v>
      </c>
      <c r="N5" s="104" t="s">
        <v>24</v>
      </c>
      <c r="O5" s="104" t="s">
        <v>25</v>
      </c>
      <c r="P5" s="104" t="s">
        <v>26</v>
      </c>
      <c r="Q5" s="104" t="s">
        <v>27</v>
      </c>
      <c r="R5" s="104" t="s">
        <v>28</v>
      </c>
      <c r="S5" s="104" t="s">
        <v>264</v>
      </c>
      <c r="T5" s="104" t="s">
        <v>25</v>
      </c>
      <c r="U5" s="104" t="s">
        <v>26</v>
      </c>
      <c r="V5" s="104" t="s">
        <v>27</v>
      </c>
      <c r="W5" s="104" t="s">
        <v>28</v>
      </c>
      <c r="X5" s="105" t="s">
        <v>264</v>
      </c>
    </row>
    <row r="6" spans="1:24" ht="26.4">
      <c r="A6" s="27" t="s">
        <v>29</v>
      </c>
      <c r="B6" s="36">
        <v>12</v>
      </c>
      <c r="C6" s="37">
        <v>3271.29</v>
      </c>
      <c r="D6" s="35">
        <f>B6*C6</f>
        <v>39255.479999999996</v>
      </c>
      <c r="E6" s="36">
        <f>B6</f>
        <v>12</v>
      </c>
      <c r="F6" s="37">
        <f>C6</f>
        <v>3271.29</v>
      </c>
      <c r="G6" s="35">
        <f>E6*F6</f>
        <v>39255.479999999996</v>
      </c>
      <c r="H6" s="36">
        <f>B6</f>
        <v>12</v>
      </c>
      <c r="I6" s="37">
        <f>C6</f>
        <v>3271.29</v>
      </c>
      <c r="J6" s="35">
        <f>H6*I6</f>
        <v>39255.479999999996</v>
      </c>
      <c r="K6" s="34"/>
      <c r="M6" s="88" t="s">
        <v>30</v>
      </c>
      <c r="N6" s="62">
        <v>1</v>
      </c>
      <c r="O6" s="62">
        <v>16</v>
      </c>
      <c r="P6" s="62">
        <v>2496</v>
      </c>
      <c r="Q6" s="62">
        <v>64</v>
      </c>
      <c r="R6" s="62">
        <v>732</v>
      </c>
      <c r="S6" s="62"/>
      <c r="T6" s="62">
        <f>N6*O6</f>
        <v>16</v>
      </c>
      <c r="U6" s="62">
        <f>N6*O6*P6</f>
        <v>39936</v>
      </c>
      <c r="V6" s="62">
        <f>N6*Q6</f>
        <v>64</v>
      </c>
      <c r="W6" s="62">
        <f>N6*R6</f>
        <v>732</v>
      </c>
      <c r="X6" s="89"/>
    </row>
    <row r="7" spans="1:24" ht="13.2" customHeight="1">
      <c r="A7" s="30" t="s">
        <v>11</v>
      </c>
      <c r="B7" s="38"/>
      <c r="C7" s="38"/>
      <c r="D7" s="39">
        <f>SUM(D5:D6)</f>
        <v>2706751.82</v>
      </c>
      <c r="E7" s="38"/>
      <c r="F7" s="38"/>
      <c r="G7" s="39">
        <f>SUM(G5:G6)</f>
        <v>39255.479999999996</v>
      </c>
      <c r="H7" s="38"/>
      <c r="I7" s="38"/>
      <c r="J7" s="39">
        <f>SUM(J5:J6)</f>
        <v>39255.479999999996</v>
      </c>
      <c r="K7" s="39">
        <f>SUM(D7:J7)</f>
        <v>2785262.78</v>
      </c>
      <c r="M7" s="88" t="s">
        <v>31</v>
      </c>
      <c r="N7" s="62">
        <v>4</v>
      </c>
      <c r="O7" s="62">
        <v>1</v>
      </c>
      <c r="P7" s="62">
        <v>2496</v>
      </c>
      <c r="Q7" s="62">
        <v>4</v>
      </c>
      <c r="R7" s="62">
        <v>61</v>
      </c>
      <c r="S7" s="62"/>
      <c r="T7" s="62">
        <f>N7*O7</f>
        <v>4</v>
      </c>
      <c r="U7" s="62">
        <f>N7*O7*P7</f>
        <v>9984</v>
      </c>
      <c r="V7" s="62">
        <f>N7*Q7</f>
        <v>16</v>
      </c>
      <c r="W7" s="62">
        <f>N7*R7</f>
        <v>244</v>
      </c>
      <c r="X7" s="89"/>
    </row>
    <row r="8" spans="1:24" ht="13.2" customHeight="1">
      <c r="A8" s="27" t="s">
        <v>32</v>
      </c>
      <c r="B8" s="34"/>
      <c r="C8" s="34"/>
      <c r="D8" s="29">
        <f>'NJIT costs'!D17</f>
        <v>97695</v>
      </c>
      <c r="E8" s="34"/>
      <c r="F8" s="34"/>
      <c r="G8" s="29">
        <f>'NJIT costs'!G17</f>
        <v>26229</v>
      </c>
      <c r="H8" s="34"/>
      <c r="I8" s="34"/>
      <c r="J8" s="29">
        <f>'NJIT costs'!J17</f>
        <v>4000</v>
      </c>
      <c r="K8" s="39"/>
      <c r="M8" s="88" t="s">
        <v>33</v>
      </c>
      <c r="N8" s="62">
        <v>50</v>
      </c>
      <c r="O8" s="62"/>
      <c r="P8" s="62"/>
      <c r="Q8" s="62">
        <v>36</v>
      </c>
      <c r="R8" s="62">
        <v>60</v>
      </c>
      <c r="S8" s="62"/>
      <c r="T8" s="62"/>
      <c r="U8" s="62"/>
      <c r="V8" s="62">
        <f>N8*Q8</f>
        <v>1800</v>
      </c>
      <c r="W8" s="62">
        <f>N8*R8</f>
        <v>3000</v>
      </c>
      <c r="X8" s="89"/>
    </row>
    <row r="9" spans="1:24" ht="13.2" customHeight="1">
      <c r="A9" s="40" t="s">
        <v>13</v>
      </c>
      <c r="B9" s="41"/>
      <c r="C9" s="41"/>
      <c r="D9" s="42">
        <f>SUM(D8,D7)</f>
        <v>2804446.82</v>
      </c>
      <c r="E9" s="41"/>
      <c r="F9" s="41"/>
      <c r="G9" s="42">
        <f>SUM(G8,G7)</f>
        <v>65484.479999999996</v>
      </c>
      <c r="H9" s="41"/>
      <c r="I9" s="41"/>
      <c r="J9" s="42">
        <f>SUM(J8,J7)</f>
        <v>43255.479999999996</v>
      </c>
      <c r="K9" s="42">
        <f>SUM(D9:J9)</f>
        <v>2913186.78</v>
      </c>
      <c r="M9" s="88" t="s">
        <v>34</v>
      </c>
      <c r="N9" s="62">
        <v>25</v>
      </c>
      <c r="O9" s="62"/>
      <c r="P9" s="62"/>
      <c r="Q9" s="62">
        <v>64</v>
      </c>
      <c r="R9" s="62">
        <v>976</v>
      </c>
      <c r="S9" s="62"/>
      <c r="T9" s="62"/>
      <c r="U9" s="62"/>
      <c r="V9" s="62">
        <f>N9*Q9</f>
        <v>1600</v>
      </c>
      <c r="W9" s="62">
        <f>N9*R9</f>
        <v>24400</v>
      </c>
      <c r="X9" s="89"/>
    </row>
    <row r="10" spans="1:24" ht="13.8">
      <c r="A10"/>
      <c r="B10"/>
      <c r="C10"/>
      <c r="D10"/>
      <c r="E10"/>
      <c r="F10"/>
      <c r="G10"/>
      <c r="H10"/>
      <c r="I10"/>
      <c r="J10"/>
      <c r="K10"/>
      <c r="M10" s="90" t="s">
        <v>35</v>
      </c>
      <c r="N10" s="62">
        <f>SUM(N6:N9)</f>
        <v>80</v>
      </c>
      <c r="O10" s="62"/>
      <c r="P10" s="62"/>
      <c r="Q10" s="62"/>
      <c r="R10" s="62"/>
      <c r="S10" s="62"/>
      <c r="T10" s="62">
        <f>SUM(T6:T9)</f>
        <v>20</v>
      </c>
      <c r="U10" s="62">
        <f>SUM(U6:U9)</f>
        <v>49920</v>
      </c>
      <c r="V10" s="62">
        <f>SUM(V6:V9)</f>
        <v>3480</v>
      </c>
      <c r="W10" s="62">
        <f>SUM(W6:W9)</f>
        <v>28376</v>
      </c>
      <c r="X10" s="89"/>
    </row>
    <row r="11" spans="1:24" ht="14.4">
      <c r="A11" s="115" t="s">
        <v>271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M11" s="74" t="s">
        <v>37</v>
      </c>
      <c r="N11" s="62">
        <v>373</v>
      </c>
      <c r="O11" s="62"/>
      <c r="P11" s="62"/>
      <c r="Q11" s="62"/>
      <c r="R11" s="62"/>
      <c r="S11" s="62"/>
      <c r="T11" s="64">
        <v>20</v>
      </c>
      <c r="U11" s="64">
        <v>61912</v>
      </c>
      <c r="V11" s="64">
        <v>3448</v>
      </c>
      <c r="W11" s="64">
        <v>29440</v>
      </c>
      <c r="X11" s="73"/>
    </row>
    <row r="12" spans="1:24" ht="14.4" thickBot="1">
      <c r="A12"/>
      <c r="B12"/>
      <c r="C12"/>
      <c r="D12"/>
      <c r="E12"/>
      <c r="F12"/>
      <c r="G12"/>
      <c r="H12"/>
      <c r="I12"/>
      <c r="J12"/>
      <c r="K12"/>
      <c r="M12" s="91" t="s">
        <v>38</v>
      </c>
      <c r="N12" s="92">
        <f>N10-N11</f>
        <v>-293</v>
      </c>
      <c r="O12" s="93"/>
      <c r="P12" s="93"/>
      <c r="Q12" s="93"/>
      <c r="R12" s="93"/>
      <c r="S12" s="93"/>
      <c r="T12" s="92">
        <f>T10-T11</f>
        <v>0</v>
      </c>
      <c r="U12" s="92">
        <f>U10-U11</f>
        <v>-11992</v>
      </c>
      <c r="V12" s="92">
        <f>V10-V11</f>
        <v>32</v>
      </c>
      <c r="W12" s="92">
        <f>W10-W11</f>
        <v>-1064</v>
      </c>
      <c r="X12" s="94"/>
    </row>
    <row r="13" spans="1:24" customFormat="1" ht="14.4">
      <c r="M13" s="102" t="s">
        <v>268</v>
      </c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</row>
    <row r="14" spans="1:24" customFormat="1" ht="14.4">
      <c r="M14" s="114" t="s">
        <v>269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ht="14.4">
      <c r="A15" s="106" t="s">
        <v>270</v>
      </c>
      <c r="B15" s="106"/>
      <c r="C15" s="106"/>
      <c r="D15" s="106"/>
      <c r="M15" s="115" t="s">
        <v>272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hidden="1">
      <c r="A16" s="58" t="s">
        <v>36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idden="1">
      <c r="A17" s="24"/>
      <c r="B17" s="57">
        <v>2018</v>
      </c>
      <c r="C17" s="57"/>
      <c r="D17" s="57"/>
      <c r="E17" s="57">
        <v>2019</v>
      </c>
      <c r="F17" s="57"/>
      <c r="G17" s="57"/>
      <c r="H17" s="57">
        <v>2020</v>
      </c>
      <c r="I17" s="57"/>
      <c r="J17" s="57"/>
      <c r="K17" s="57" t="s">
        <v>0</v>
      </c>
    </row>
    <row r="18" spans="1:11" ht="26.4" hidden="1">
      <c r="A18" s="24" t="s">
        <v>1</v>
      </c>
      <c r="B18" s="26" t="s">
        <v>2</v>
      </c>
      <c r="C18" s="26" t="s">
        <v>3</v>
      </c>
      <c r="D18" s="26" t="s">
        <v>4</v>
      </c>
      <c r="E18" s="26" t="s">
        <v>2</v>
      </c>
      <c r="F18" s="26" t="s">
        <v>3</v>
      </c>
      <c r="G18" s="26" t="s">
        <v>4</v>
      </c>
      <c r="H18" s="26" t="s">
        <v>2</v>
      </c>
      <c r="I18" s="26" t="s">
        <v>3</v>
      </c>
      <c r="J18" s="26" t="s">
        <v>4</v>
      </c>
      <c r="K18" s="57"/>
    </row>
    <row r="19" spans="1:11" hidden="1">
      <c r="A19" s="27" t="s">
        <v>22</v>
      </c>
      <c r="B19" s="33"/>
      <c r="C19" s="34"/>
      <c r="D19" s="43">
        <v>1585515.74</v>
      </c>
      <c r="E19" s="34"/>
      <c r="F19" s="34"/>
      <c r="G19" s="35"/>
      <c r="H19" s="34"/>
      <c r="I19" s="34"/>
      <c r="J19" s="35"/>
      <c r="K19" s="34"/>
    </row>
    <row r="20" spans="1:11" ht="26.4" hidden="1">
      <c r="A20" s="27" t="s">
        <v>29</v>
      </c>
      <c r="B20" s="36">
        <v>12</v>
      </c>
      <c r="C20" s="37">
        <v>87654.9</v>
      </c>
      <c r="D20" s="35">
        <f>B20*C20</f>
        <v>1051858.7999999998</v>
      </c>
      <c r="E20" s="36">
        <f>B20</f>
        <v>12</v>
      </c>
      <c r="F20" s="37">
        <f>C20</f>
        <v>87654.9</v>
      </c>
      <c r="G20" s="35">
        <f>E20*F20</f>
        <v>1051858.7999999998</v>
      </c>
      <c r="H20" s="36">
        <f>B20</f>
        <v>12</v>
      </c>
      <c r="I20" s="37">
        <f>C20</f>
        <v>87654.9</v>
      </c>
      <c r="J20" s="35">
        <f>H20*I20</f>
        <v>1051858.7999999998</v>
      </c>
      <c r="K20" s="34"/>
    </row>
    <row r="21" spans="1:11" hidden="1">
      <c r="A21" s="30" t="s">
        <v>11</v>
      </c>
      <c r="B21" s="38"/>
      <c r="C21" s="38"/>
      <c r="D21" s="39">
        <f>SUM(D19:D20)</f>
        <v>2637374.54</v>
      </c>
      <c r="E21" s="38"/>
      <c r="F21" s="38"/>
      <c r="G21" s="39">
        <f>SUM(G19:G20)</f>
        <v>1051858.7999999998</v>
      </c>
      <c r="H21" s="38"/>
      <c r="I21" s="38"/>
      <c r="J21" s="39">
        <f>SUM(J19:J20)</f>
        <v>1051858.7999999998</v>
      </c>
      <c r="K21" s="39">
        <f>SUM(D21:J21)</f>
        <v>4741092.1399999997</v>
      </c>
    </row>
    <row r="22" spans="1:11" hidden="1">
      <c r="A22" s="27" t="s">
        <v>32</v>
      </c>
      <c r="B22" s="34"/>
      <c r="C22" s="34"/>
      <c r="D22" s="29">
        <f>'NJIT costs'!D17</f>
        <v>97695</v>
      </c>
      <c r="E22" s="34"/>
      <c r="F22" s="34"/>
      <c r="G22" s="29">
        <f>'NJIT costs'!G17</f>
        <v>26229</v>
      </c>
      <c r="H22" s="34"/>
      <c r="I22" s="34"/>
      <c r="J22" s="29">
        <f>'NJIT costs'!J17</f>
        <v>4000</v>
      </c>
      <c r="K22" s="39"/>
    </row>
    <row r="23" spans="1:11" hidden="1">
      <c r="A23" s="40" t="s">
        <v>13</v>
      </c>
      <c r="B23" s="41"/>
      <c r="C23" s="41"/>
      <c r="D23" s="42">
        <f>SUM(D22,D21)</f>
        <v>2735069.54</v>
      </c>
      <c r="E23" s="41"/>
      <c r="F23" s="41"/>
      <c r="G23" s="42">
        <f>SUM(G22,G21)</f>
        <v>1078087.7999999998</v>
      </c>
      <c r="H23" s="41"/>
      <c r="I23" s="41"/>
      <c r="J23" s="42">
        <f>SUM(J22,J21)</f>
        <v>1055858.7999999998</v>
      </c>
      <c r="K23" s="42">
        <f>SUM(D23:J23)</f>
        <v>4869016.1399999997</v>
      </c>
    </row>
    <row r="24" spans="1:11" hidden="1"/>
    <row r="25" spans="1:11" hidden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idden="1">
      <c r="A26" s="24"/>
      <c r="B26" s="57">
        <v>2018</v>
      </c>
      <c r="C26" s="57"/>
      <c r="D26" s="57"/>
      <c r="E26" s="57">
        <v>2019</v>
      </c>
      <c r="F26" s="57"/>
      <c r="G26" s="57"/>
      <c r="H26" s="57">
        <v>2020</v>
      </c>
      <c r="I26" s="57"/>
      <c r="J26" s="57"/>
      <c r="K26" s="57" t="s">
        <v>0</v>
      </c>
    </row>
    <row r="27" spans="1:11" ht="26.4" hidden="1">
      <c r="A27" s="24" t="s">
        <v>1</v>
      </c>
      <c r="B27" s="26" t="s">
        <v>2</v>
      </c>
      <c r="C27" s="26" t="s">
        <v>3</v>
      </c>
      <c r="D27" s="26" t="s">
        <v>4</v>
      </c>
      <c r="E27" s="26" t="s">
        <v>2</v>
      </c>
      <c r="F27" s="26" t="s">
        <v>3</v>
      </c>
      <c r="G27" s="26" t="s">
        <v>4</v>
      </c>
      <c r="H27" s="26" t="s">
        <v>2</v>
      </c>
      <c r="I27" s="26" t="s">
        <v>3</v>
      </c>
      <c r="J27" s="26" t="s">
        <v>4</v>
      </c>
      <c r="K27" s="57"/>
    </row>
    <row r="28" spans="1:11" ht="26.4" hidden="1">
      <c r="A28" s="27" t="s">
        <v>29</v>
      </c>
      <c r="B28" s="36">
        <v>12</v>
      </c>
      <c r="C28" s="37">
        <v>127117.65</v>
      </c>
      <c r="D28" s="35">
        <f>B28*C28</f>
        <v>1525411.7999999998</v>
      </c>
      <c r="E28" s="36">
        <f>B28</f>
        <v>12</v>
      </c>
      <c r="F28" s="37">
        <f>C28</f>
        <v>127117.65</v>
      </c>
      <c r="G28" s="35">
        <f>E28*F28</f>
        <v>1525411.7999999998</v>
      </c>
      <c r="H28" s="36">
        <f>B28</f>
        <v>12</v>
      </c>
      <c r="I28" s="37">
        <f>C28</f>
        <v>127117.65</v>
      </c>
      <c r="J28" s="35">
        <f>H28*I28</f>
        <v>1525411.7999999998</v>
      </c>
      <c r="K28" s="34"/>
    </row>
    <row r="29" spans="1:11" hidden="1">
      <c r="A29" s="30" t="s">
        <v>11</v>
      </c>
      <c r="B29" s="38"/>
      <c r="C29" s="38"/>
      <c r="D29" s="39">
        <f>SUM(D28:D28)</f>
        <v>1525411.7999999998</v>
      </c>
      <c r="E29" s="38"/>
      <c r="F29" s="38"/>
      <c r="G29" s="39">
        <f>SUM(G28:G28)</f>
        <v>1525411.7999999998</v>
      </c>
      <c r="H29" s="38"/>
      <c r="I29" s="38"/>
      <c r="J29" s="39">
        <f>SUM(J28:J28)</f>
        <v>1525411.7999999998</v>
      </c>
      <c r="K29" s="39">
        <f>SUM(D29:J29)</f>
        <v>4576235.3999999994</v>
      </c>
    </row>
    <row r="30" spans="1:11" hidden="1">
      <c r="A30" s="27" t="s">
        <v>32</v>
      </c>
      <c r="B30" s="34"/>
      <c r="C30" s="34"/>
      <c r="D30" s="29">
        <f>'NJIT costs'!D17</f>
        <v>97695</v>
      </c>
      <c r="E30" s="34"/>
      <c r="F30" s="34"/>
      <c r="G30" s="29">
        <f>'NJIT costs'!G17</f>
        <v>26229</v>
      </c>
      <c r="H30" s="34"/>
      <c r="I30" s="34"/>
      <c r="J30" s="29">
        <f>'NJIT costs'!J17</f>
        <v>4000</v>
      </c>
      <c r="K30" s="39"/>
    </row>
    <row r="31" spans="1:11" hidden="1">
      <c r="A31" s="40" t="s">
        <v>13</v>
      </c>
      <c r="B31" s="41"/>
      <c r="C31" s="41"/>
      <c r="D31" s="42">
        <f>SUM(D30,D29)</f>
        <v>1623106.7999999998</v>
      </c>
      <c r="E31" s="41"/>
      <c r="F31" s="41"/>
      <c r="G31" s="42">
        <f>SUM(G30,G29)</f>
        <v>1551640.7999999998</v>
      </c>
      <c r="H31" s="41"/>
      <c r="I31" s="41"/>
      <c r="J31" s="42">
        <f>SUM(J30,J29)</f>
        <v>1529411.7999999998</v>
      </c>
      <c r="K31" s="42">
        <f>SUM(D31:J31)</f>
        <v>4704159.3999999994</v>
      </c>
    </row>
    <row r="32" spans="1:11" hidden="1"/>
    <row r="33" spans="1:11" hidden="1">
      <c r="A33" s="58" t="s">
        <v>40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idden="1">
      <c r="A34" s="24"/>
      <c r="B34" s="57">
        <v>2018</v>
      </c>
      <c r="C34" s="57"/>
      <c r="D34" s="57"/>
      <c r="E34" s="57">
        <v>2019</v>
      </c>
      <c r="F34" s="57"/>
      <c r="G34" s="57"/>
      <c r="H34" s="57">
        <v>2020</v>
      </c>
      <c r="I34" s="57"/>
      <c r="J34" s="57"/>
      <c r="K34" s="57" t="s">
        <v>0</v>
      </c>
    </row>
    <row r="35" spans="1:11" ht="26.4" hidden="1">
      <c r="A35" s="24" t="s">
        <v>1</v>
      </c>
      <c r="B35" s="26" t="s">
        <v>2</v>
      </c>
      <c r="C35" s="26" t="s">
        <v>3</v>
      </c>
      <c r="D35" s="26" t="s">
        <v>4</v>
      </c>
      <c r="E35" s="26" t="s">
        <v>2</v>
      </c>
      <c r="F35" s="26" t="s">
        <v>3</v>
      </c>
      <c r="G35" s="26" t="s">
        <v>4</v>
      </c>
      <c r="H35" s="26" t="s">
        <v>2</v>
      </c>
      <c r="I35" s="26" t="s">
        <v>3</v>
      </c>
      <c r="J35" s="26" t="s">
        <v>4</v>
      </c>
      <c r="K35" s="57"/>
    </row>
    <row r="36" spans="1:11" ht="26.4" hidden="1">
      <c r="A36" s="27" t="s">
        <v>29</v>
      </c>
      <c r="B36" s="36">
        <v>12</v>
      </c>
      <c r="C36" s="37">
        <v>208144.84</v>
      </c>
      <c r="D36" s="35">
        <f>B36*C36</f>
        <v>2497738.08</v>
      </c>
      <c r="E36" s="36">
        <f>B36</f>
        <v>12</v>
      </c>
      <c r="F36" s="37">
        <f>C36</f>
        <v>208144.84</v>
      </c>
      <c r="G36" s="35">
        <f>E36*F36</f>
        <v>2497738.08</v>
      </c>
      <c r="H36" s="36">
        <f>B36</f>
        <v>12</v>
      </c>
      <c r="I36" s="37">
        <f>C36</f>
        <v>208144.84</v>
      </c>
      <c r="J36" s="35">
        <f>H36*I36</f>
        <v>2497738.08</v>
      </c>
      <c r="K36" s="34"/>
    </row>
    <row r="37" spans="1:11" hidden="1">
      <c r="A37" s="30" t="s">
        <v>11</v>
      </c>
      <c r="B37" s="38"/>
      <c r="C37" s="38"/>
      <c r="D37" s="39">
        <f>SUM(D36:D36)</f>
        <v>2497738.08</v>
      </c>
      <c r="E37" s="38"/>
      <c r="F37" s="38"/>
      <c r="G37" s="39">
        <f>SUM(G36:G36)</f>
        <v>2497738.08</v>
      </c>
      <c r="H37" s="38"/>
      <c r="I37" s="38"/>
      <c r="J37" s="39">
        <f>SUM(J36:J36)</f>
        <v>2497738.08</v>
      </c>
      <c r="K37" s="39">
        <f>SUM(D37:J37)</f>
        <v>7493214.2400000002</v>
      </c>
    </row>
    <row r="38" spans="1:11" hidden="1">
      <c r="A38" s="27" t="s">
        <v>32</v>
      </c>
      <c r="B38" s="34"/>
      <c r="C38" s="34"/>
      <c r="D38" s="29">
        <f>'NJIT costs'!D17</f>
        <v>97695</v>
      </c>
      <c r="E38" s="34"/>
      <c r="F38" s="34"/>
      <c r="G38" s="29">
        <f>'NJIT costs'!G17</f>
        <v>26229</v>
      </c>
      <c r="H38" s="34"/>
      <c r="I38" s="34"/>
      <c r="J38" s="29">
        <f>'NJIT costs'!J17</f>
        <v>4000</v>
      </c>
      <c r="K38" s="39"/>
    </row>
    <row r="39" spans="1:11" hidden="1">
      <c r="A39" s="40" t="s">
        <v>13</v>
      </c>
      <c r="B39" s="41"/>
      <c r="C39" s="41"/>
      <c r="D39" s="42">
        <f>SUM(D38,D37)</f>
        <v>2595433.08</v>
      </c>
      <c r="E39" s="41"/>
      <c r="F39" s="41"/>
      <c r="G39" s="42">
        <f>SUM(G38,G37)</f>
        <v>2523967.08</v>
      </c>
      <c r="H39" s="41"/>
      <c r="I39" s="41"/>
      <c r="J39" s="42">
        <f>SUM(J38,J37)</f>
        <v>2501738.08</v>
      </c>
      <c r="K39" s="42">
        <f>SUM(D39:J39)</f>
        <v>7621138.2400000002</v>
      </c>
    </row>
  </sheetData>
  <mergeCells count="29">
    <mergeCell ref="A15:D15"/>
    <mergeCell ref="M2:X2"/>
    <mergeCell ref="M3:X3"/>
    <mergeCell ref="M14:X14"/>
    <mergeCell ref="M13:X13"/>
    <mergeCell ref="M15:X15"/>
    <mergeCell ref="A11:K11"/>
    <mergeCell ref="B34:D34"/>
    <mergeCell ref="E34:G34"/>
    <mergeCell ref="H34:J34"/>
    <mergeCell ref="K34:K35"/>
    <mergeCell ref="A16:K16"/>
    <mergeCell ref="B17:D17"/>
    <mergeCell ref="E17:G17"/>
    <mergeCell ref="H17:J17"/>
    <mergeCell ref="K17:K18"/>
    <mergeCell ref="A25:K25"/>
    <mergeCell ref="B26:D26"/>
    <mergeCell ref="E26:G26"/>
    <mergeCell ref="H26:J26"/>
    <mergeCell ref="K26:K27"/>
    <mergeCell ref="A33:K33"/>
    <mergeCell ref="A2:K2"/>
    <mergeCell ref="B3:D3"/>
    <mergeCell ref="E3:G3"/>
    <mergeCell ref="H3:J3"/>
    <mergeCell ref="K3:K4"/>
    <mergeCell ref="O4:S4"/>
    <mergeCell ref="T4:X4"/>
  </mergeCells>
  <pageMargins left="0.25" right="0.25" top="0.45" bottom="0.45" header="0.25" footer="0.25"/>
  <pageSetup fitToWidth="0" fitToHeight="0" pageOrder="overThenDown" orientation="landscape" useFirstPageNumber="1" r:id="rId1"/>
  <headerFooter alignWithMargins="0">
    <oddHeader>&amp;L*** PRELIMINARY ***&amp;CHPC Off-Premise Three year Cost Analysis&amp;R*** ESTIMATE ***</oddHeader>
    <oddFooter>&amp;L&amp;D &amp;T&amp;C"&amp;A" sheet&amp;RPage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2"/>
  <sheetViews>
    <sheetView zoomScale="80" zoomScaleNormal="80" workbookViewId="0">
      <selection activeCell="M23" sqref="M23:X23"/>
    </sheetView>
  </sheetViews>
  <sheetFormatPr defaultRowHeight="13.8"/>
  <cols>
    <col min="1" max="1" width="17.59765625" customWidth="1"/>
    <col min="2" max="2" width="8.796875" customWidth="1"/>
    <col min="3" max="3" width="11.69921875" customWidth="1"/>
    <col min="4" max="4" width="12" customWidth="1"/>
    <col min="5" max="6" width="8.796875" customWidth="1"/>
    <col min="7" max="7" width="11.19921875" customWidth="1"/>
    <col min="8" max="9" width="8.796875" customWidth="1"/>
    <col min="10" max="10" width="11.59765625" customWidth="1"/>
    <col min="11" max="11" width="11.19921875" customWidth="1"/>
    <col min="12" max="12" width="8.796875" customWidth="1"/>
    <col min="13" max="13" width="12.69921875" customWidth="1"/>
    <col min="14" max="14" width="6.19921875" customWidth="1"/>
    <col min="15" max="15" width="5.796875" customWidth="1"/>
    <col min="16" max="16" width="5.59765625" customWidth="1"/>
    <col min="17" max="17" width="6.19921875" customWidth="1"/>
    <col min="18" max="18" width="5.3984375" customWidth="1"/>
    <col min="19" max="19" width="8" customWidth="1"/>
    <col min="20" max="20" width="5.3984375" customWidth="1"/>
    <col min="21" max="21" width="6" customWidth="1"/>
    <col min="22" max="22" width="5.8984375" customWidth="1"/>
    <col min="23" max="23" width="6.5" customWidth="1"/>
    <col min="24" max="24" width="8.796875" customWidth="1"/>
  </cols>
  <sheetData>
    <row r="1" spans="1:26" ht="14.4" thickBot="1">
      <c r="A1" s="44"/>
      <c r="B1" s="45"/>
      <c r="C1" s="45"/>
      <c r="D1" s="45"/>
      <c r="E1" s="45"/>
      <c r="F1" s="45"/>
      <c r="G1" s="46"/>
      <c r="H1" s="45"/>
      <c r="I1" s="45"/>
      <c r="J1" s="46"/>
      <c r="K1" s="4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>
      <c r="A2" s="58" t="s">
        <v>259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0"/>
      <c r="M2" s="69"/>
      <c r="N2" s="80" t="s">
        <v>18</v>
      </c>
      <c r="O2" s="80"/>
      <c r="P2" s="80"/>
      <c r="Q2" s="80"/>
      <c r="R2" s="80"/>
      <c r="S2" s="80"/>
      <c r="T2" s="80"/>
      <c r="U2" s="80"/>
      <c r="V2" s="80"/>
      <c r="W2" s="80"/>
      <c r="X2" s="81"/>
      <c r="Y2" s="51"/>
      <c r="Z2" s="51"/>
    </row>
    <row r="3" spans="1:26">
      <c r="A3" s="24"/>
      <c r="B3" s="57">
        <v>2018</v>
      </c>
      <c r="C3" s="57"/>
      <c r="D3" s="57"/>
      <c r="E3" s="57">
        <v>2019</v>
      </c>
      <c r="F3" s="57"/>
      <c r="G3" s="57"/>
      <c r="H3" s="57">
        <v>2020</v>
      </c>
      <c r="I3" s="57"/>
      <c r="J3" s="57"/>
      <c r="K3" s="57" t="s">
        <v>0</v>
      </c>
      <c r="L3" s="50"/>
      <c r="M3" s="70"/>
      <c r="N3" s="82"/>
      <c r="O3" s="83" t="s">
        <v>20</v>
      </c>
      <c r="P3" s="83"/>
      <c r="Q3" s="83"/>
      <c r="R3" s="83"/>
      <c r="S3" s="83"/>
      <c r="T3" s="83" t="s">
        <v>21</v>
      </c>
      <c r="U3" s="83"/>
      <c r="V3" s="83"/>
      <c r="W3" s="83"/>
      <c r="X3" s="84"/>
      <c r="Y3" s="51"/>
      <c r="Z3" s="51"/>
    </row>
    <row r="4" spans="1:26" ht="39.6">
      <c r="A4" s="24" t="s">
        <v>1</v>
      </c>
      <c r="B4" s="26" t="s">
        <v>246</v>
      </c>
      <c r="C4" s="26" t="s">
        <v>247</v>
      </c>
      <c r="D4" s="26" t="s">
        <v>248</v>
      </c>
      <c r="E4" s="26" t="s">
        <v>246</v>
      </c>
      <c r="F4" s="26" t="s">
        <v>247</v>
      </c>
      <c r="G4" s="26" t="s">
        <v>248</v>
      </c>
      <c r="H4" s="26" t="s">
        <v>246</v>
      </c>
      <c r="I4" s="26" t="s">
        <v>247</v>
      </c>
      <c r="J4" s="26" t="s">
        <v>248</v>
      </c>
      <c r="K4" s="57"/>
      <c r="L4" s="1"/>
      <c r="M4" s="71"/>
      <c r="N4" s="63" t="s">
        <v>260</v>
      </c>
      <c r="O4" s="63" t="s">
        <v>25</v>
      </c>
      <c r="P4" s="63" t="s">
        <v>26</v>
      </c>
      <c r="Q4" s="63" t="s">
        <v>27</v>
      </c>
      <c r="R4" s="63" t="s">
        <v>28</v>
      </c>
      <c r="S4" s="63" t="s">
        <v>261</v>
      </c>
      <c r="T4" s="63" t="s">
        <v>25</v>
      </c>
      <c r="U4" s="63" t="s">
        <v>26</v>
      </c>
      <c r="V4" s="63" t="s">
        <v>27</v>
      </c>
      <c r="W4" s="63" t="s">
        <v>28</v>
      </c>
      <c r="X4" s="72" t="s">
        <v>261</v>
      </c>
      <c r="Y4" s="49"/>
      <c r="Z4" s="51"/>
    </row>
    <row r="5" spans="1:26">
      <c r="A5" s="27" t="s">
        <v>251</v>
      </c>
      <c r="B5" s="34">
        <v>2</v>
      </c>
      <c r="C5" s="52">
        <v>959.78</v>
      </c>
      <c r="D5" s="52">
        <f t="shared" ref="D5:D13" si="0">12*C5</f>
        <v>11517.36</v>
      </c>
      <c r="E5" s="34"/>
      <c r="F5" s="34"/>
      <c r="G5" s="35">
        <f>D5</f>
        <v>11517.36</v>
      </c>
      <c r="H5" s="34"/>
      <c r="I5" s="34"/>
      <c r="J5" s="35">
        <f t="shared" ref="J5:J18" si="1">G5</f>
        <v>11517.36</v>
      </c>
      <c r="K5" s="34"/>
      <c r="L5" s="1"/>
      <c r="M5" s="71"/>
      <c r="N5" s="64">
        <f>B5</f>
        <v>2</v>
      </c>
      <c r="O5" s="64"/>
      <c r="P5" s="64"/>
      <c r="Q5" s="64">
        <v>16</v>
      </c>
      <c r="R5" s="64">
        <v>128</v>
      </c>
      <c r="S5" s="65">
        <v>29799</v>
      </c>
      <c r="T5" s="66"/>
      <c r="U5" s="64"/>
      <c r="V5" s="65">
        <f>B5*R5</f>
        <v>256</v>
      </c>
      <c r="W5" s="65">
        <f>B5*R5</f>
        <v>256</v>
      </c>
      <c r="X5" s="73">
        <f>B5*S5</f>
        <v>59598</v>
      </c>
      <c r="Y5" s="49"/>
      <c r="Z5" s="51"/>
    </row>
    <row r="6" spans="1:26">
      <c r="A6" s="27" t="s">
        <v>252</v>
      </c>
      <c r="B6" s="34">
        <v>2</v>
      </c>
      <c r="C6" s="52">
        <v>3456.2</v>
      </c>
      <c r="D6" s="52">
        <f t="shared" si="0"/>
        <v>41474.399999999994</v>
      </c>
      <c r="E6" s="34"/>
      <c r="F6" s="34"/>
      <c r="G6" s="35">
        <f t="shared" ref="G6:G18" si="2">D6</f>
        <v>41474.399999999994</v>
      </c>
      <c r="H6" s="34"/>
      <c r="I6" s="34"/>
      <c r="J6" s="35">
        <f t="shared" si="1"/>
        <v>41474.399999999994</v>
      </c>
      <c r="K6" s="34"/>
      <c r="L6" s="1"/>
      <c r="M6" s="71"/>
      <c r="N6" s="64">
        <f t="shared" ref="N6:N18" si="3">B6</f>
        <v>2</v>
      </c>
      <c r="O6" s="64">
        <v>4</v>
      </c>
      <c r="P6" s="64">
        <v>4992</v>
      </c>
      <c r="Q6" s="64">
        <v>24</v>
      </c>
      <c r="R6" s="64">
        <v>224</v>
      </c>
      <c r="S6" s="65">
        <v>25709</v>
      </c>
      <c r="T6" s="65">
        <f>B6*O6</f>
        <v>8</v>
      </c>
      <c r="U6" s="64">
        <f>B6*P6</f>
        <v>9984</v>
      </c>
      <c r="V6" s="65">
        <f t="shared" ref="V6:V18" si="4">B6*R6</f>
        <v>448</v>
      </c>
      <c r="W6" s="65">
        <f t="shared" ref="W6:W18" si="5">B6*R6</f>
        <v>448</v>
      </c>
      <c r="X6" s="73">
        <f t="shared" ref="X6:X18" si="6">B6*S6</f>
        <v>51418</v>
      </c>
      <c r="Y6" s="49"/>
      <c r="Z6" s="51"/>
    </row>
    <row r="7" spans="1:26">
      <c r="A7" s="27" t="s">
        <v>253</v>
      </c>
      <c r="B7" s="34">
        <v>110</v>
      </c>
      <c r="C7" s="52">
        <v>28346.240000000002</v>
      </c>
      <c r="D7" s="52">
        <f t="shared" si="0"/>
        <v>340154.88</v>
      </c>
      <c r="E7" s="34"/>
      <c r="F7" s="34"/>
      <c r="G7" s="35">
        <f t="shared" si="2"/>
        <v>340154.88</v>
      </c>
      <c r="H7" s="34"/>
      <c r="I7" s="34"/>
      <c r="J7" s="35">
        <f t="shared" si="1"/>
        <v>340154.88</v>
      </c>
      <c r="K7" s="34"/>
      <c r="L7" s="1"/>
      <c r="M7" s="71"/>
      <c r="N7" s="64">
        <f t="shared" si="3"/>
        <v>110</v>
      </c>
      <c r="O7" s="64"/>
      <c r="P7" s="64"/>
      <c r="Q7" s="64">
        <v>8</v>
      </c>
      <c r="R7" s="64">
        <v>64</v>
      </c>
      <c r="S7" s="65">
        <v>29799</v>
      </c>
      <c r="T7" s="65"/>
      <c r="U7" s="64"/>
      <c r="V7" s="65">
        <f t="shared" si="4"/>
        <v>7040</v>
      </c>
      <c r="W7" s="65">
        <f t="shared" si="5"/>
        <v>7040</v>
      </c>
      <c r="X7" s="73">
        <f t="shared" si="6"/>
        <v>3277890</v>
      </c>
      <c r="Y7" s="49"/>
      <c r="Z7" s="51"/>
    </row>
    <row r="8" spans="1:26">
      <c r="A8" s="27" t="s">
        <v>254</v>
      </c>
      <c r="B8" s="34">
        <v>2</v>
      </c>
      <c r="C8" s="52">
        <v>1249.8</v>
      </c>
      <c r="D8" s="52">
        <f t="shared" si="0"/>
        <v>14997.599999999999</v>
      </c>
      <c r="E8" s="34"/>
      <c r="F8" s="34"/>
      <c r="G8" s="35">
        <f t="shared" si="2"/>
        <v>14997.599999999999</v>
      </c>
      <c r="H8" s="34"/>
      <c r="I8" s="34"/>
      <c r="J8" s="35">
        <f t="shared" si="1"/>
        <v>14997.599999999999</v>
      </c>
      <c r="K8" s="34"/>
      <c r="L8" s="1"/>
      <c r="M8" s="71"/>
      <c r="N8" s="64">
        <f t="shared" si="3"/>
        <v>2</v>
      </c>
      <c r="O8" s="64"/>
      <c r="P8" s="64"/>
      <c r="Q8" s="64">
        <v>32</v>
      </c>
      <c r="R8" s="64">
        <v>128</v>
      </c>
      <c r="S8" s="65">
        <v>29799</v>
      </c>
      <c r="T8" s="65"/>
      <c r="U8" s="64"/>
      <c r="V8" s="65">
        <f t="shared" si="4"/>
        <v>256</v>
      </c>
      <c r="W8" s="65">
        <f t="shared" si="5"/>
        <v>256</v>
      </c>
      <c r="X8" s="73">
        <f t="shared" si="6"/>
        <v>59598</v>
      </c>
      <c r="Y8" s="49"/>
      <c r="Z8" s="51"/>
    </row>
    <row r="9" spans="1:26">
      <c r="A9" s="27" t="s">
        <v>255</v>
      </c>
      <c r="B9" s="34">
        <v>3</v>
      </c>
      <c r="C9" s="52">
        <v>2214.56</v>
      </c>
      <c r="D9" s="52">
        <f t="shared" si="0"/>
        <v>26574.720000000001</v>
      </c>
      <c r="E9" s="34"/>
      <c r="F9" s="34"/>
      <c r="G9" s="35">
        <f t="shared" si="2"/>
        <v>26574.720000000001</v>
      </c>
      <c r="H9" s="34"/>
      <c r="I9" s="34"/>
      <c r="J9" s="35">
        <f t="shared" si="1"/>
        <v>26574.720000000001</v>
      </c>
      <c r="K9" s="34"/>
      <c r="L9" s="1"/>
      <c r="M9" s="71"/>
      <c r="N9" s="64">
        <f t="shared" si="3"/>
        <v>3</v>
      </c>
      <c r="O9" s="64"/>
      <c r="P9" s="64"/>
      <c r="Q9" s="64">
        <v>20</v>
      </c>
      <c r="R9" s="64">
        <v>140</v>
      </c>
      <c r="S9" s="65">
        <v>22959</v>
      </c>
      <c r="T9" s="65"/>
      <c r="U9" s="64"/>
      <c r="V9" s="65">
        <f t="shared" si="4"/>
        <v>420</v>
      </c>
      <c r="W9" s="65">
        <f t="shared" si="5"/>
        <v>420</v>
      </c>
      <c r="X9" s="73">
        <f t="shared" si="6"/>
        <v>68877</v>
      </c>
      <c r="Y9" s="49"/>
      <c r="Z9" s="51"/>
    </row>
    <row r="10" spans="1:26">
      <c r="A10" s="27" t="s">
        <v>256</v>
      </c>
      <c r="B10" s="34">
        <v>3</v>
      </c>
      <c r="C10" s="52">
        <v>5221.17</v>
      </c>
      <c r="D10" s="52">
        <f t="shared" si="0"/>
        <v>62654.04</v>
      </c>
      <c r="E10" s="34"/>
      <c r="F10" s="34"/>
      <c r="G10" s="35">
        <f t="shared" si="2"/>
        <v>62654.04</v>
      </c>
      <c r="H10" s="34"/>
      <c r="I10" s="34"/>
      <c r="J10" s="35">
        <f t="shared" si="1"/>
        <v>62654.04</v>
      </c>
      <c r="K10" s="34"/>
      <c r="L10" s="1"/>
      <c r="M10" s="71"/>
      <c r="N10" s="64">
        <f t="shared" si="3"/>
        <v>3</v>
      </c>
      <c r="O10" s="64">
        <v>4</v>
      </c>
      <c r="P10" s="64">
        <v>3584</v>
      </c>
      <c r="Q10" s="64">
        <v>24</v>
      </c>
      <c r="R10" s="64">
        <v>448</v>
      </c>
      <c r="S10" s="65">
        <v>27897</v>
      </c>
      <c r="T10" s="65">
        <f>B10*O10</f>
        <v>12</v>
      </c>
      <c r="U10" s="64">
        <f>B10*P10</f>
        <v>10752</v>
      </c>
      <c r="V10" s="65">
        <f t="shared" si="4"/>
        <v>1344</v>
      </c>
      <c r="W10" s="65">
        <f t="shared" si="5"/>
        <v>1344</v>
      </c>
      <c r="X10" s="73">
        <f t="shared" si="6"/>
        <v>83691</v>
      </c>
      <c r="Y10" s="49"/>
      <c r="Z10" s="51"/>
    </row>
    <row r="11" spans="1:26">
      <c r="A11" s="27" t="s">
        <v>257</v>
      </c>
      <c r="B11" s="34">
        <v>13</v>
      </c>
      <c r="C11" s="52">
        <v>10591.67</v>
      </c>
      <c r="D11" s="52">
        <f t="shared" si="0"/>
        <v>127100.04000000001</v>
      </c>
      <c r="E11" s="34"/>
      <c r="F11" s="34"/>
      <c r="G11" s="35">
        <f t="shared" si="2"/>
        <v>127100.04000000001</v>
      </c>
      <c r="H11" s="34"/>
      <c r="I11" s="34"/>
      <c r="J11" s="35">
        <f t="shared" si="1"/>
        <v>127100.04000000001</v>
      </c>
      <c r="K11" s="34"/>
      <c r="L11" s="1"/>
      <c r="M11" s="71"/>
      <c r="N11" s="64">
        <f t="shared" si="3"/>
        <v>13</v>
      </c>
      <c r="O11" s="64"/>
      <c r="P11" s="64"/>
      <c r="Q11" s="64">
        <v>16</v>
      </c>
      <c r="R11" s="64">
        <v>112</v>
      </c>
      <c r="S11" s="65">
        <v>23207</v>
      </c>
      <c r="T11" s="65"/>
      <c r="U11" s="64"/>
      <c r="V11" s="65">
        <f t="shared" si="4"/>
        <v>1456</v>
      </c>
      <c r="W11" s="65">
        <f t="shared" si="5"/>
        <v>1456</v>
      </c>
      <c r="X11" s="73">
        <f t="shared" si="6"/>
        <v>301691</v>
      </c>
      <c r="Y11" s="49"/>
      <c r="Z11" s="51"/>
    </row>
    <row r="12" spans="1:26">
      <c r="A12" s="27" t="s">
        <v>240</v>
      </c>
      <c r="B12" s="34">
        <v>1</v>
      </c>
      <c r="C12" s="52">
        <v>467.05</v>
      </c>
      <c r="D12" s="52">
        <f t="shared" si="0"/>
        <v>5604.6</v>
      </c>
      <c r="E12" s="34"/>
      <c r="F12" s="34"/>
      <c r="G12" s="35">
        <f t="shared" si="2"/>
        <v>5604.6</v>
      </c>
      <c r="H12" s="34"/>
      <c r="I12" s="34"/>
      <c r="J12" s="35">
        <f t="shared" si="1"/>
        <v>5604.6</v>
      </c>
      <c r="K12" s="34"/>
      <c r="L12" s="1"/>
      <c r="M12" s="71"/>
      <c r="N12" s="64">
        <f t="shared" si="3"/>
        <v>1</v>
      </c>
      <c r="O12" s="64"/>
      <c r="P12" s="64"/>
      <c r="Q12" s="64">
        <v>16</v>
      </c>
      <c r="R12" s="64">
        <v>128</v>
      </c>
      <c r="S12" s="65">
        <v>29799</v>
      </c>
      <c r="T12" s="65"/>
      <c r="U12" s="64">
        <f>B12*P12</f>
        <v>0</v>
      </c>
      <c r="V12" s="65">
        <f t="shared" si="4"/>
        <v>128</v>
      </c>
      <c r="W12" s="65">
        <f t="shared" si="5"/>
        <v>128</v>
      </c>
      <c r="X12" s="73">
        <f t="shared" si="6"/>
        <v>29799</v>
      </c>
      <c r="Y12" s="49"/>
      <c r="Z12" s="51"/>
    </row>
    <row r="13" spans="1:26">
      <c r="A13" s="27" t="s">
        <v>241</v>
      </c>
      <c r="B13" s="34">
        <v>1</v>
      </c>
      <c r="C13" s="52">
        <v>619.01</v>
      </c>
      <c r="D13" s="52">
        <f t="shared" si="0"/>
        <v>7428.12</v>
      </c>
      <c r="E13" s="34"/>
      <c r="F13" s="34"/>
      <c r="G13" s="35">
        <f t="shared" si="2"/>
        <v>7428.12</v>
      </c>
      <c r="H13" s="34"/>
      <c r="I13" s="34"/>
      <c r="J13" s="35">
        <f t="shared" si="1"/>
        <v>7428.12</v>
      </c>
      <c r="K13" s="34"/>
      <c r="L13" s="1"/>
      <c r="M13" s="71"/>
      <c r="N13" s="64">
        <f t="shared" si="3"/>
        <v>1</v>
      </c>
      <c r="O13" s="64"/>
      <c r="P13" s="64"/>
      <c r="Q13" s="64">
        <v>32</v>
      </c>
      <c r="R13" s="64">
        <v>128</v>
      </c>
      <c r="S13" s="65">
        <v>29799</v>
      </c>
      <c r="T13" s="65"/>
      <c r="U13" s="64"/>
      <c r="V13" s="65">
        <f t="shared" si="4"/>
        <v>128</v>
      </c>
      <c r="W13" s="65">
        <f t="shared" si="5"/>
        <v>128</v>
      </c>
      <c r="X13" s="73">
        <f t="shared" si="6"/>
        <v>29799</v>
      </c>
      <c r="Y13" s="49"/>
      <c r="Z13" s="51"/>
    </row>
    <row r="14" spans="1:26">
      <c r="A14" s="27" t="s">
        <v>250</v>
      </c>
      <c r="B14" s="34">
        <v>5</v>
      </c>
      <c r="C14" s="52">
        <v>4085.69</v>
      </c>
      <c r="D14" s="52">
        <f t="shared" ref="D14:D19" si="7">12*C14</f>
        <v>49028.28</v>
      </c>
      <c r="E14" s="34"/>
      <c r="F14" s="34"/>
      <c r="G14" s="35">
        <f t="shared" si="2"/>
        <v>49028.28</v>
      </c>
      <c r="H14" s="34"/>
      <c r="I14" s="34"/>
      <c r="J14" s="35">
        <f t="shared" si="1"/>
        <v>49028.28</v>
      </c>
      <c r="K14" s="34"/>
      <c r="L14" s="1"/>
      <c r="M14" s="71"/>
      <c r="N14" s="64">
        <f t="shared" si="3"/>
        <v>5</v>
      </c>
      <c r="O14" s="64"/>
      <c r="P14" s="64"/>
      <c r="Q14" s="64">
        <v>16</v>
      </c>
      <c r="R14" s="64">
        <v>112</v>
      </c>
      <c r="S14" s="65">
        <v>23207</v>
      </c>
      <c r="T14" s="65"/>
      <c r="U14" s="64"/>
      <c r="V14" s="65">
        <f t="shared" si="4"/>
        <v>560</v>
      </c>
      <c r="W14" s="65">
        <f t="shared" si="5"/>
        <v>560</v>
      </c>
      <c r="X14" s="73">
        <f t="shared" si="6"/>
        <v>116035</v>
      </c>
      <c r="Y14" s="49"/>
      <c r="Z14" s="51"/>
    </row>
    <row r="15" spans="1:26">
      <c r="A15" s="27" t="s">
        <v>242</v>
      </c>
      <c r="B15" s="34">
        <v>8</v>
      </c>
      <c r="C15" s="52">
        <v>3764.22</v>
      </c>
      <c r="D15" s="52">
        <f t="shared" si="7"/>
        <v>45170.64</v>
      </c>
      <c r="E15" s="34"/>
      <c r="F15" s="34"/>
      <c r="G15" s="35">
        <f t="shared" si="2"/>
        <v>45170.64</v>
      </c>
      <c r="H15" s="34"/>
      <c r="I15" s="34"/>
      <c r="J15" s="35">
        <f t="shared" si="1"/>
        <v>45170.64</v>
      </c>
      <c r="K15" s="34"/>
      <c r="L15" s="1"/>
      <c r="M15" s="71"/>
      <c r="N15" s="64">
        <f t="shared" si="3"/>
        <v>8</v>
      </c>
      <c r="O15" s="64"/>
      <c r="P15" s="64"/>
      <c r="Q15" s="64">
        <v>16</v>
      </c>
      <c r="R15" s="64">
        <v>128</v>
      </c>
      <c r="S15" s="65">
        <v>29799</v>
      </c>
      <c r="T15" s="65"/>
      <c r="U15" s="64"/>
      <c r="V15" s="65">
        <f t="shared" si="4"/>
        <v>1024</v>
      </c>
      <c r="W15" s="65">
        <f t="shared" si="5"/>
        <v>1024</v>
      </c>
      <c r="X15" s="73">
        <f t="shared" si="6"/>
        <v>238392</v>
      </c>
      <c r="Y15" s="49"/>
      <c r="Z15" s="51"/>
    </row>
    <row r="16" spans="1:26">
      <c r="A16" s="27" t="s">
        <v>243</v>
      </c>
      <c r="B16" s="34">
        <v>10</v>
      </c>
      <c r="C16" s="52">
        <v>18995.2</v>
      </c>
      <c r="D16" s="52">
        <f t="shared" si="7"/>
        <v>227942.40000000002</v>
      </c>
      <c r="E16" s="34"/>
      <c r="F16" s="34"/>
      <c r="G16" s="35">
        <f t="shared" si="2"/>
        <v>227942.40000000002</v>
      </c>
      <c r="H16" s="34"/>
      <c r="I16" s="34"/>
      <c r="J16" s="35">
        <f t="shared" si="1"/>
        <v>227942.40000000002</v>
      </c>
      <c r="K16" s="34"/>
      <c r="L16" s="1"/>
      <c r="M16" s="71"/>
      <c r="N16" s="64">
        <f t="shared" si="3"/>
        <v>10</v>
      </c>
      <c r="O16" s="64">
        <v>4</v>
      </c>
      <c r="P16" s="64">
        <v>4992</v>
      </c>
      <c r="Q16" s="64">
        <v>24</v>
      </c>
      <c r="R16" s="64">
        <v>224</v>
      </c>
      <c r="S16" s="65">
        <v>25709</v>
      </c>
      <c r="T16" s="65">
        <f>B16*O16</f>
        <v>40</v>
      </c>
      <c r="U16" s="64">
        <f>B16*P16</f>
        <v>49920</v>
      </c>
      <c r="V16" s="65">
        <f t="shared" si="4"/>
        <v>2240</v>
      </c>
      <c r="W16" s="65">
        <f t="shared" si="5"/>
        <v>2240</v>
      </c>
      <c r="X16" s="73">
        <f t="shared" si="6"/>
        <v>257090</v>
      </c>
      <c r="Y16" s="49"/>
      <c r="Z16" s="51"/>
    </row>
    <row r="17" spans="1:26">
      <c r="A17" s="27" t="s">
        <v>244</v>
      </c>
      <c r="B17" s="34">
        <v>3</v>
      </c>
      <c r="C17" s="52">
        <v>2477.6</v>
      </c>
      <c r="D17" s="52">
        <f t="shared" si="7"/>
        <v>29731.199999999997</v>
      </c>
      <c r="E17" s="34"/>
      <c r="F17" s="34"/>
      <c r="G17" s="35">
        <f t="shared" si="2"/>
        <v>29731.199999999997</v>
      </c>
      <c r="H17" s="34"/>
      <c r="I17" s="34"/>
      <c r="J17" s="35">
        <f t="shared" si="1"/>
        <v>29731.199999999997</v>
      </c>
      <c r="K17" s="34"/>
      <c r="L17" s="1"/>
      <c r="M17" s="71"/>
      <c r="N17" s="64">
        <f t="shared" si="3"/>
        <v>3</v>
      </c>
      <c r="O17" s="64"/>
      <c r="P17" s="64"/>
      <c r="Q17" s="64">
        <v>16</v>
      </c>
      <c r="R17" s="64">
        <v>112</v>
      </c>
      <c r="S17" s="65">
        <v>23207</v>
      </c>
      <c r="T17" s="65"/>
      <c r="U17" s="64"/>
      <c r="V17" s="65">
        <f t="shared" si="4"/>
        <v>336</v>
      </c>
      <c r="W17" s="65">
        <f t="shared" si="5"/>
        <v>336</v>
      </c>
      <c r="X17" s="73">
        <f t="shared" si="6"/>
        <v>69621</v>
      </c>
      <c r="Y17" s="49"/>
      <c r="Z17" s="51"/>
    </row>
    <row r="18" spans="1:26">
      <c r="A18" s="27" t="s">
        <v>245</v>
      </c>
      <c r="B18" s="34">
        <v>1</v>
      </c>
      <c r="C18" s="52">
        <v>1899.52</v>
      </c>
      <c r="D18" s="52">
        <f t="shared" si="7"/>
        <v>22794.239999999998</v>
      </c>
      <c r="E18" s="34"/>
      <c r="F18" s="34"/>
      <c r="G18" s="35">
        <f t="shared" si="2"/>
        <v>22794.239999999998</v>
      </c>
      <c r="H18" s="34"/>
      <c r="I18" s="34"/>
      <c r="J18" s="35">
        <f t="shared" si="1"/>
        <v>22794.239999999998</v>
      </c>
      <c r="K18" s="34"/>
      <c r="L18" s="1"/>
      <c r="M18" s="71"/>
      <c r="N18" s="64">
        <f t="shared" si="3"/>
        <v>1</v>
      </c>
      <c r="O18" s="64">
        <v>4</v>
      </c>
      <c r="P18" s="64">
        <v>4992</v>
      </c>
      <c r="Q18" s="64">
        <v>24</v>
      </c>
      <c r="R18" s="64">
        <v>224</v>
      </c>
      <c r="S18" s="65">
        <v>25709</v>
      </c>
      <c r="T18" s="65">
        <f>B18*O18</f>
        <v>4</v>
      </c>
      <c r="U18" s="64">
        <f>B18*P18</f>
        <v>4992</v>
      </c>
      <c r="V18" s="65">
        <f t="shared" si="4"/>
        <v>224</v>
      </c>
      <c r="W18" s="65">
        <f t="shared" si="5"/>
        <v>224</v>
      </c>
      <c r="X18" s="73">
        <f t="shared" si="6"/>
        <v>25709</v>
      </c>
      <c r="Y18" s="49"/>
      <c r="Z18" s="51"/>
    </row>
    <row r="19" spans="1:26" ht="43.8" customHeight="1">
      <c r="A19" s="27" t="s">
        <v>249</v>
      </c>
      <c r="B19" s="36">
        <v>64</v>
      </c>
      <c r="C19" s="52">
        <v>996.16</v>
      </c>
      <c r="D19" s="52">
        <f t="shared" si="7"/>
        <v>11953.92</v>
      </c>
      <c r="E19" s="36">
        <f>'NJIT storage'!$D$11/1024</f>
        <v>68.147363281249994</v>
      </c>
      <c r="F19" s="55">
        <f>C19+(C19*'NJIT storage'!$C$11)</f>
        <v>1095.7760000000001</v>
      </c>
      <c r="G19" s="52">
        <f t="shared" ref="G19" si="8">12*F19</f>
        <v>13149.312000000002</v>
      </c>
      <c r="H19" s="36">
        <f>'NJIT storage'!$D$12/1024</f>
        <v>81.776835937499996</v>
      </c>
      <c r="I19" s="55">
        <f>F19+(F19*'NJIT storage'!$C$12)</f>
        <v>1314.9312</v>
      </c>
      <c r="J19" s="35">
        <f>12*I19</f>
        <v>15779.1744</v>
      </c>
      <c r="K19" s="34"/>
      <c r="L19" s="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73"/>
      <c r="Y19" s="49"/>
      <c r="Z19" s="51"/>
    </row>
    <row r="20" spans="1:26">
      <c r="A20" s="30" t="s">
        <v>11</v>
      </c>
      <c r="B20" s="38"/>
      <c r="C20" s="53">
        <f>SUM(C5:C19)</f>
        <v>85343.870000000024</v>
      </c>
      <c r="D20" s="53">
        <f>SUM(D5:D19)</f>
        <v>1024126.44</v>
      </c>
      <c r="E20" s="38"/>
      <c r="F20" s="38"/>
      <c r="G20" s="39">
        <f>SUM(G5:G19)</f>
        <v>1025321.8319999999</v>
      </c>
      <c r="H20" s="38"/>
      <c r="I20" s="38"/>
      <c r="J20" s="39">
        <f>SUM(J5:J19)</f>
        <v>1027951.6943999999</v>
      </c>
      <c r="K20" s="39">
        <f>SUM(E20:J20)</f>
        <v>2053273.5263999999</v>
      </c>
      <c r="L20" s="1"/>
      <c r="M20" s="74" t="s">
        <v>262</v>
      </c>
      <c r="N20" s="64">
        <f>SUM(N5:N19)</f>
        <v>164</v>
      </c>
      <c r="O20" s="67"/>
      <c r="P20" s="67"/>
      <c r="Q20" s="67"/>
      <c r="R20" s="67"/>
      <c r="S20" s="67"/>
      <c r="T20" s="67">
        <f>SUM(T5:T19)</f>
        <v>64</v>
      </c>
      <c r="U20" s="67">
        <f>SUM(U5:U19)</f>
        <v>75648</v>
      </c>
      <c r="V20" s="67">
        <f>SUM(V5:V19)</f>
        <v>15860</v>
      </c>
      <c r="W20" s="67">
        <f>SUM(W5:W19)</f>
        <v>15860</v>
      </c>
      <c r="X20" s="73">
        <f>SUM(X5:X10)</f>
        <v>3601072</v>
      </c>
    </row>
    <row r="21" spans="1:26" ht="26.4">
      <c r="A21" s="27" t="s">
        <v>12</v>
      </c>
      <c r="B21" s="34"/>
      <c r="C21" s="52"/>
      <c r="D21" s="29">
        <f>'NJIT costs'!$D$17</f>
        <v>97695</v>
      </c>
      <c r="E21" s="34"/>
      <c r="F21" s="34"/>
      <c r="G21" s="29">
        <f>'NJIT costs'!$G$17</f>
        <v>26229</v>
      </c>
      <c r="H21" s="34"/>
      <c r="I21" s="34"/>
      <c r="J21" s="29">
        <f>'NJIT costs'!$J$17</f>
        <v>4000</v>
      </c>
      <c r="K21" s="39"/>
      <c r="L21" s="1"/>
      <c r="M21" s="85" t="s">
        <v>37</v>
      </c>
      <c r="N21" s="64">
        <v>373</v>
      </c>
      <c r="O21" s="64"/>
      <c r="P21" s="64"/>
      <c r="Q21" s="64"/>
      <c r="R21" s="64"/>
      <c r="S21" s="68"/>
      <c r="T21" s="68">
        <v>20</v>
      </c>
      <c r="U21" s="64">
        <v>61912</v>
      </c>
      <c r="V21" s="64">
        <v>3448</v>
      </c>
      <c r="W21" s="64">
        <v>29440</v>
      </c>
      <c r="X21" s="73">
        <f>4388548</f>
        <v>4388548</v>
      </c>
    </row>
    <row r="22" spans="1:26" ht="14.4" thickBot="1">
      <c r="A22" s="40" t="s">
        <v>13</v>
      </c>
      <c r="B22" s="41"/>
      <c r="C22" s="54"/>
      <c r="D22" s="42">
        <f>SUM(D20:D21)</f>
        <v>1121821.44</v>
      </c>
      <c r="E22" s="41"/>
      <c r="F22" s="41"/>
      <c r="G22" s="42">
        <f>SUM(G20:G21)</f>
        <v>1051550.8319999999</v>
      </c>
      <c r="H22" s="41"/>
      <c r="I22" s="41"/>
      <c r="J22" s="42">
        <f>SUM(J20:J21)</f>
        <v>1031951.6943999999</v>
      </c>
      <c r="K22" s="42">
        <f>SUM(D22:J22)</f>
        <v>3205323.9663999998</v>
      </c>
      <c r="L22" s="1"/>
      <c r="M22" s="77" t="s">
        <v>263</v>
      </c>
      <c r="N22" s="78">
        <f>N20-N21</f>
        <v>-209</v>
      </c>
      <c r="O22" s="75"/>
      <c r="P22" s="75"/>
      <c r="Q22" s="75"/>
      <c r="R22" s="75"/>
      <c r="S22" s="76"/>
      <c r="T22" s="78">
        <f>T20-T21</f>
        <v>44</v>
      </c>
      <c r="U22" s="78">
        <f>U20-U21</f>
        <v>13736</v>
      </c>
      <c r="V22" s="78">
        <f t="shared" ref="V22:X22" si="9">V20-V21</f>
        <v>12412</v>
      </c>
      <c r="W22" s="78">
        <f t="shared" si="9"/>
        <v>-13580</v>
      </c>
      <c r="X22" s="79">
        <f t="shared" si="9"/>
        <v>-787476</v>
      </c>
    </row>
    <row r="23" spans="1:26" ht="14.4">
      <c r="A23" s="23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1"/>
      <c r="M23" s="113" t="s">
        <v>268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6" ht="14.4">
      <c r="M24" s="102" t="s">
        <v>269</v>
      </c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</row>
    <row r="25" spans="1:26" hidden="1">
      <c r="A25" t="s">
        <v>258</v>
      </c>
    </row>
    <row r="52" spans="1:1">
      <c r="A52" t="s">
        <v>236</v>
      </c>
    </row>
  </sheetData>
  <mergeCells count="10">
    <mergeCell ref="M24:X24"/>
    <mergeCell ref="A2:K2"/>
    <mergeCell ref="B3:D3"/>
    <mergeCell ref="E3:G3"/>
    <mergeCell ref="H3:J3"/>
    <mergeCell ref="K3:K4"/>
    <mergeCell ref="O3:S3"/>
    <mergeCell ref="T3:X3"/>
    <mergeCell ref="N2:X2"/>
    <mergeCell ref="M23:X2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7" workbookViewId="0">
      <selection activeCell="D17" sqref="D17"/>
    </sheetView>
  </sheetViews>
  <sheetFormatPr defaultRowHeight="13.2"/>
  <cols>
    <col min="1" max="1" width="34.296875" style="23" customWidth="1"/>
    <col min="2" max="2" width="6.296875" style="1" customWidth="1"/>
    <col min="3" max="3" width="6.796875" style="1" customWidth="1"/>
    <col min="4" max="4" width="10.09765625" style="1" customWidth="1"/>
    <col min="5" max="5" width="6.296875" style="1" customWidth="1"/>
    <col min="6" max="6" width="5" style="1" customWidth="1"/>
    <col min="7" max="7" width="10.09765625" style="1" customWidth="1"/>
    <col min="8" max="8" width="7.69921875" style="1" customWidth="1"/>
    <col min="9" max="9" width="5" style="1" customWidth="1"/>
    <col min="10" max="11" width="10.09765625" style="1" customWidth="1"/>
    <col min="12" max="16384" width="8.796875" style="1"/>
  </cols>
  <sheetData>
    <row r="1" spans="1:11">
      <c r="A1" s="24"/>
      <c r="B1" s="25"/>
      <c r="C1" s="25"/>
      <c r="D1" s="25"/>
      <c r="E1" s="25"/>
      <c r="F1" s="25"/>
      <c r="G1" s="25"/>
      <c r="H1" s="25"/>
      <c r="I1" s="25"/>
      <c r="J1" s="25"/>
      <c r="K1" s="3"/>
    </row>
    <row r="2" spans="1:11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>
      <c r="A3" s="24"/>
      <c r="B3" s="57">
        <v>2018</v>
      </c>
      <c r="C3" s="57"/>
      <c r="D3" s="57"/>
      <c r="E3" s="57">
        <v>2019</v>
      </c>
      <c r="F3" s="57"/>
      <c r="G3" s="57"/>
      <c r="H3" s="57">
        <v>2020</v>
      </c>
      <c r="I3" s="57"/>
      <c r="J3" s="57"/>
      <c r="K3" s="57" t="s">
        <v>0</v>
      </c>
    </row>
    <row r="4" spans="1:11" ht="39.6">
      <c r="A4" s="24" t="s">
        <v>1</v>
      </c>
      <c r="B4" s="26" t="s">
        <v>2</v>
      </c>
      <c r="C4" s="26" t="s">
        <v>3</v>
      </c>
      <c r="D4" s="26" t="s">
        <v>4</v>
      </c>
      <c r="E4" s="26" t="s">
        <v>2</v>
      </c>
      <c r="F4" s="26" t="s">
        <v>3</v>
      </c>
      <c r="G4" s="26" t="s">
        <v>4</v>
      </c>
      <c r="H4" s="26" t="s">
        <v>2</v>
      </c>
      <c r="I4" s="26" t="s">
        <v>3</v>
      </c>
      <c r="J4" s="26" t="s">
        <v>4</v>
      </c>
      <c r="K4" s="57"/>
    </row>
    <row r="5" spans="1:11">
      <c r="A5" s="27" t="s">
        <v>42</v>
      </c>
      <c r="B5" s="28">
        <f>2*35</f>
        <v>70</v>
      </c>
      <c r="C5" s="29">
        <v>80</v>
      </c>
      <c r="D5" s="29">
        <f t="shared" ref="D5:D16" si="0">B5*C5</f>
        <v>5600</v>
      </c>
      <c r="E5" s="28"/>
      <c r="F5" s="28"/>
      <c r="G5" s="28"/>
      <c r="H5" s="28"/>
      <c r="I5" s="28"/>
      <c r="J5" s="28"/>
      <c r="K5" s="29">
        <f t="shared" ref="K5:K16" si="1">SUM(D5,G5,J5)</f>
        <v>5600</v>
      </c>
    </row>
    <row r="6" spans="1:11" ht="26.4">
      <c r="A6" s="27" t="s">
        <v>43</v>
      </c>
      <c r="B6" s="28">
        <v>2</v>
      </c>
      <c r="C6" s="29">
        <v>1000</v>
      </c>
      <c r="D6" s="29">
        <f t="shared" si="0"/>
        <v>2000</v>
      </c>
      <c r="E6" s="28"/>
      <c r="F6" s="28"/>
      <c r="G6" s="28"/>
      <c r="H6" s="28"/>
      <c r="I6" s="28"/>
      <c r="J6" s="28"/>
      <c r="K6" s="29">
        <f t="shared" si="1"/>
        <v>2000</v>
      </c>
    </row>
    <row r="7" spans="1:11" ht="39.6">
      <c r="A7" s="27" t="s">
        <v>44</v>
      </c>
      <c r="B7" s="28">
        <f>10*4</f>
        <v>40</v>
      </c>
      <c r="C7" s="29">
        <v>70</v>
      </c>
      <c r="D7" s="29">
        <f t="shared" si="0"/>
        <v>2800</v>
      </c>
      <c r="E7" s="28"/>
      <c r="F7" s="28"/>
      <c r="G7" s="28"/>
      <c r="H7" s="28"/>
      <c r="I7" s="28"/>
      <c r="J7" s="28"/>
      <c r="K7" s="29">
        <f t="shared" si="1"/>
        <v>2800</v>
      </c>
    </row>
    <row r="8" spans="1:11" ht="39.6">
      <c r="A8" s="27" t="s">
        <v>45</v>
      </c>
      <c r="B8" s="28">
        <f>50*6</f>
        <v>300</v>
      </c>
      <c r="C8" s="29">
        <f>C5</f>
        <v>80</v>
      </c>
      <c r="D8" s="29">
        <f t="shared" si="0"/>
        <v>24000</v>
      </c>
      <c r="E8" s="28"/>
      <c r="F8" s="28"/>
      <c r="G8" s="28"/>
      <c r="H8" s="28"/>
      <c r="I8" s="28"/>
      <c r="J8" s="28"/>
      <c r="K8" s="29">
        <f t="shared" si="1"/>
        <v>24000</v>
      </c>
    </row>
    <row r="9" spans="1:11" ht="26.4">
      <c r="A9" s="27" t="s">
        <v>46</v>
      </c>
      <c r="B9" s="28">
        <f>27*7</f>
        <v>189</v>
      </c>
      <c r="C9" s="29">
        <v>75</v>
      </c>
      <c r="D9" s="29">
        <f t="shared" si="0"/>
        <v>14175</v>
      </c>
      <c r="E9" s="28">
        <f>9*7</f>
        <v>63</v>
      </c>
      <c r="F9" s="29">
        <f>C9</f>
        <v>75</v>
      </c>
      <c r="G9" s="29">
        <f t="shared" ref="G9:G14" si="2">E9*F9</f>
        <v>4725</v>
      </c>
      <c r="H9" s="28"/>
      <c r="I9" s="28"/>
      <c r="J9" s="28"/>
      <c r="K9" s="29">
        <f t="shared" si="1"/>
        <v>18900</v>
      </c>
    </row>
    <row r="10" spans="1:11" ht="26.4">
      <c r="A10" s="27" t="s">
        <v>47</v>
      </c>
      <c r="B10" s="28">
        <f>50*7</f>
        <v>350</v>
      </c>
      <c r="C10" s="29">
        <f>12</f>
        <v>12</v>
      </c>
      <c r="D10" s="29">
        <f t="shared" si="0"/>
        <v>4200</v>
      </c>
      <c r="E10" s="28">
        <f>16*7</f>
        <v>112</v>
      </c>
      <c r="F10" s="29">
        <f>12</f>
        <v>12</v>
      </c>
      <c r="G10" s="29">
        <f t="shared" si="2"/>
        <v>1344</v>
      </c>
      <c r="H10" s="28"/>
      <c r="I10" s="28"/>
      <c r="J10" s="28"/>
      <c r="K10" s="29">
        <f t="shared" si="1"/>
        <v>5544</v>
      </c>
    </row>
    <row r="11" spans="1:11" ht="26.4">
      <c r="A11" s="27" t="s">
        <v>48</v>
      </c>
      <c r="B11" s="28">
        <v>7</v>
      </c>
      <c r="C11" s="29">
        <f>C5</f>
        <v>80</v>
      </c>
      <c r="D11" s="29">
        <f t="shared" si="0"/>
        <v>560</v>
      </c>
      <c r="E11" s="28">
        <v>7</v>
      </c>
      <c r="F11" s="29">
        <f>C11</f>
        <v>80</v>
      </c>
      <c r="G11" s="29">
        <f t="shared" si="2"/>
        <v>560</v>
      </c>
      <c r="H11" s="28"/>
      <c r="I11" s="28"/>
      <c r="J11" s="28"/>
      <c r="K11" s="29">
        <f t="shared" si="1"/>
        <v>1120</v>
      </c>
    </row>
    <row r="12" spans="1:11" ht="66">
      <c r="A12" s="27" t="s">
        <v>49</v>
      </c>
      <c r="B12" s="28">
        <v>20</v>
      </c>
      <c r="C12" s="29">
        <f>C5</f>
        <v>80</v>
      </c>
      <c r="D12" s="29">
        <f t="shared" si="0"/>
        <v>1600</v>
      </c>
      <c r="E12" s="28">
        <v>20</v>
      </c>
      <c r="F12" s="29">
        <f>C5</f>
        <v>80</v>
      </c>
      <c r="G12" s="29">
        <f t="shared" si="2"/>
        <v>1600</v>
      </c>
      <c r="H12" s="29">
        <v>20</v>
      </c>
      <c r="I12" s="29">
        <f>C5</f>
        <v>80</v>
      </c>
      <c r="J12" s="29">
        <f>H12*I12</f>
        <v>1600</v>
      </c>
      <c r="K12" s="29">
        <f t="shared" si="1"/>
        <v>4800</v>
      </c>
    </row>
    <row r="13" spans="1:11" ht="79.2">
      <c r="A13" s="27" t="s">
        <v>50</v>
      </c>
      <c r="B13" s="28">
        <f>60*6</f>
        <v>360</v>
      </c>
      <c r="C13" s="29">
        <f>C5</f>
        <v>80</v>
      </c>
      <c r="D13" s="29">
        <f t="shared" si="0"/>
        <v>28800</v>
      </c>
      <c r="E13" s="28">
        <f>30*6</f>
        <v>180</v>
      </c>
      <c r="F13" s="29">
        <f>C5</f>
        <v>80</v>
      </c>
      <c r="G13" s="29">
        <f t="shared" si="2"/>
        <v>14400</v>
      </c>
      <c r="H13" s="28">
        <f>10*3</f>
        <v>30</v>
      </c>
      <c r="I13" s="29">
        <f>C5</f>
        <v>80</v>
      </c>
      <c r="J13" s="29">
        <f>H13*I13</f>
        <v>2400</v>
      </c>
      <c r="K13" s="29">
        <f t="shared" si="1"/>
        <v>45600</v>
      </c>
    </row>
    <row r="14" spans="1:11" ht="52.8">
      <c r="A14" s="27" t="s">
        <v>51</v>
      </c>
      <c r="B14" s="28">
        <v>150</v>
      </c>
      <c r="C14" s="29">
        <f>C5</f>
        <v>80</v>
      </c>
      <c r="D14" s="29">
        <f t="shared" si="0"/>
        <v>12000</v>
      </c>
      <c r="E14" s="28">
        <v>45</v>
      </c>
      <c r="F14" s="29">
        <f>C5</f>
        <v>80</v>
      </c>
      <c r="G14" s="29">
        <f t="shared" si="2"/>
        <v>3600</v>
      </c>
      <c r="H14" s="28"/>
      <c r="I14" s="28"/>
      <c r="J14" s="28"/>
      <c r="K14" s="29">
        <f t="shared" si="1"/>
        <v>15600</v>
      </c>
    </row>
    <row r="15" spans="1:11" ht="26.4">
      <c r="A15" s="27" t="s">
        <v>52</v>
      </c>
      <c r="B15" s="28">
        <f>5*7</f>
        <v>35</v>
      </c>
      <c r="C15" s="29">
        <v>40</v>
      </c>
      <c r="D15" s="29">
        <f t="shared" si="0"/>
        <v>1400</v>
      </c>
      <c r="E15" s="28"/>
      <c r="F15" s="28"/>
      <c r="G15" s="28"/>
      <c r="H15" s="28"/>
      <c r="I15" s="28"/>
      <c r="J15" s="28"/>
      <c r="K15" s="29">
        <f t="shared" si="1"/>
        <v>1400</v>
      </c>
    </row>
    <row r="16" spans="1:11" ht="26.4">
      <c r="A16" s="27" t="s">
        <v>53</v>
      </c>
      <c r="B16" s="28">
        <f>1*7</f>
        <v>7</v>
      </c>
      <c r="C16" s="29">
        <f>C5</f>
        <v>80</v>
      </c>
      <c r="D16" s="29">
        <f t="shared" si="0"/>
        <v>560</v>
      </c>
      <c r="E16" s="28"/>
      <c r="F16" s="28"/>
      <c r="G16" s="28"/>
      <c r="H16" s="28"/>
      <c r="I16" s="28"/>
      <c r="J16" s="28"/>
      <c r="K16" s="29">
        <f t="shared" si="1"/>
        <v>560</v>
      </c>
    </row>
    <row r="17" spans="1:11">
      <c r="A17" s="30" t="s">
        <v>54</v>
      </c>
      <c r="B17" s="31"/>
      <c r="C17" s="31"/>
      <c r="D17" s="32">
        <f>SUM(D5:D16)</f>
        <v>97695</v>
      </c>
      <c r="E17" s="31"/>
      <c r="F17" s="31"/>
      <c r="G17" s="32">
        <f>SUM(G5:G16)</f>
        <v>26229</v>
      </c>
      <c r="H17" s="31"/>
      <c r="I17" s="31"/>
      <c r="J17" s="32">
        <f>SUM(J5:J16)</f>
        <v>4000</v>
      </c>
      <c r="K17" s="32">
        <f>SUM(D17:J17)</f>
        <v>127924</v>
      </c>
    </row>
  </sheetData>
  <mergeCells count="5">
    <mergeCell ref="A2:K2"/>
    <mergeCell ref="B3:D3"/>
    <mergeCell ref="E3:G3"/>
    <mergeCell ref="H3:J3"/>
    <mergeCell ref="K3:K4"/>
  </mergeCells>
  <pageMargins left="0.25" right="0.25" top="0.45" bottom="0.45" header="0.25" footer="0.25"/>
  <pageSetup fitToWidth="0" fitToHeight="0" pageOrder="overThenDown" orientation="landscape" useFirstPageNumber="1" r:id="rId1"/>
  <headerFooter alignWithMargins="0">
    <oddHeader>&amp;L*** PRELIMINARY ***&amp;CHPC Off-Premise Three year Cost Analysis&amp;R*** ESTIMATE ***</oddHeader>
    <oddFooter>&amp;L&amp;D &amp;T&amp;C"&amp;A" sheet&amp;RPage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2" sqref="D12"/>
    </sheetView>
  </sheetViews>
  <sheetFormatPr defaultRowHeight="13.2"/>
  <cols>
    <col min="1" max="1" width="34.296875" style="23" customWidth="1"/>
    <col min="2" max="2" width="6.296875" style="1" customWidth="1"/>
    <col min="3" max="3" width="6.796875" style="1" customWidth="1"/>
    <col min="4" max="4" width="10.09765625" style="1" customWidth="1"/>
    <col min="5" max="5" width="6.296875" style="1" customWidth="1"/>
    <col min="6" max="6" width="5" style="1" customWidth="1"/>
    <col min="7" max="7" width="10.09765625" style="1" customWidth="1"/>
    <col min="8" max="8" width="7.69921875" style="1" customWidth="1"/>
    <col min="9" max="9" width="5" style="1" customWidth="1"/>
    <col min="10" max="11" width="10.09765625" style="1" customWidth="1"/>
    <col min="12" max="16384" width="8.796875" style="1"/>
  </cols>
  <sheetData>
    <row r="1" spans="1:4">
      <c r="A1" s="9"/>
    </row>
    <row r="2" spans="1:4">
      <c r="A2" s="58" t="s">
        <v>55</v>
      </c>
      <c r="B2" s="58"/>
      <c r="C2" s="58"/>
      <c r="D2" s="58"/>
    </row>
    <row r="4" spans="1:4">
      <c r="A4" s="10" t="s">
        <v>56</v>
      </c>
      <c r="B4" s="11"/>
      <c r="C4" s="12" t="s">
        <v>57</v>
      </c>
      <c r="D4" s="13" t="s">
        <v>58</v>
      </c>
    </row>
    <row r="5" spans="1:4">
      <c r="A5" s="14" t="s">
        <v>59</v>
      </c>
      <c r="D5" s="15">
        <v>36866</v>
      </c>
    </row>
    <row r="6" spans="1:4">
      <c r="A6" s="14" t="s">
        <v>60</v>
      </c>
      <c r="D6" s="15">
        <v>8087</v>
      </c>
    </row>
    <row r="7" spans="1:4">
      <c r="A7" s="14" t="s">
        <v>61</v>
      </c>
      <c r="D7" s="15">
        <v>4096</v>
      </c>
    </row>
    <row r="8" spans="1:4">
      <c r="A8" s="14" t="s">
        <v>62</v>
      </c>
      <c r="D8" s="15">
        <v>10342</v>
      </c>
    </row>
    <row r="9" spans="1:4">
      <c r="A9" s="14" t="s">
        <v>63</v>
      </c>
      <c r="D9" s="15">
        <v>4048</v>
      </c>
    </row>
    <row r="10" spans="1:4">
      <c r="A10" s="16" t="s">
        <v>64</v>
      </c>
      <c r="D10" s="17">
        <f>SUM(D5:D9)</f>
        <v>63439</v>
      </c>
    </row>
    <row r="11" spans="1:4">
      <c r="A11" s="14" t="s">
        <v>65</v>
      </c>
      <c r="C11" s="18">
        <v>0.1</v>
      </c>
      <c r="D11" s="15">
        <f>D10+(D10*C11)</f>
        <v>69782.899999999994</v>
      </c>
    </row>
    <row r="12" spans="1:4">
      <c r="A12" s="14" t="s">
        <v>66</v>
      </c>
      <c r="C12" s="18">
        <v>0.2</v>
      </c>
      <c r="D12" s="15">
        <f>D11+(D11*C12)</f>
        <v>83739.48</v>
      </c>
    </row>
    <row r="13" spans="1:4">
      <c r="A13" s="19" t="s">
        <v>67</v>
      </c>
      <c r="B13" s="20"/>
      <c r="C13" s="21">
        <v>0.2</v>
      </c>
      <c r="D13" s="22">
        <f>D12+(D12*C13)</f>
        <v>100487.37599999999</v>
      </c>
    </row>
  </sheetData>
  <mergeCells count="1">
    <mergeCell ref="A2:D2"/>
  </mergeCells>
  <pageMargins left="0.25" right="0.25" top="0.45" bottom="0.45" header="0.25" footer="0.25"/>
  <pageSetup fitToWidth="0" fitToHeight="0" pageOrder="overThenDown" orientation="landscape" useFirstPageNumber="1" r:id="rId1"/>
  <headerFooter alignWithMargins="0">
    <oddHeader>&amp;L*** PRELIMINARY ***&amp;CHPC Off-Premise Three year Cost Analysis&amp;R*** ESTIMATE ***</oddHeader>
    <oddFooter>&amp;L&amp;D &amp;T&amp;C"&amp;A" sheet&amp;RPage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workbookViewId="0">
      <selection sqref="A1:XFD1048576"/>
    </sheetView>
  </sheetViews>
  <sheetFormatPr defaultRowHeight="13.2"/>
  <cols>
    <col min="1" max="1" width="10.8984375" style="1" customWidth="1"/>
    <col min="2" max="2" width="4.59765625" style="1" customWidth="1"/>
    <col min="3" max="3" width="8.59765625" style="1" customWidth="1"/>
    <col min="4" max="5" width="10.8984375" style="1" customWidth="1"/>
    <col min="6" max="6" width="7.296875" style="1" customWidth="1"/>
    <col min="7" max="7" width="7.59765625" style="1" customWidth="1"/>
    <col min="8" max="8" width="8.19921875" style="1" hidden="1" customWidth="1"/>
    <col min="9" max="9" width="9.8984375" style="5" customWidth="1"/>
    <col min="10" max="10" width="8.19921875" style="5" customWidth="1"/>
    <col min="11" max="11" width="7.69921875" style="5" customWidth="1"/>
    <col min="12" max="12" width="10.8984375" style="5" customWidth="1"/>
    <col min="13" max="13" width="9.69921875" style="1" customWidth="1"/>
    <col min="14" max="14" width="9.796875" style="1" customWidth="1"/>
    <col min="15" max="15" width="10.69921875" style="1" customWidth="1"/>
    <col min="16" max="16384" width="8.796875" style="1"/>
  </cols>
  <sheetData>
    <row r="1" spans="1:14">
      <c r="A1" s="59" t="s">
        <v>68</v>
      </c>
      <c r="B1" s="59"/>
      <c r="C1" s="59"/>
      <c r="D1" s="59"/>
      <c r="E1" s="59"/>
      <c r="F1" s="59"/>
      <c r="G1" s="59"/>
      <c r="H1" s="59"/>
      <c r="I1" s="60" t="s">
        <v>69</v>
      </c>
      <c r="J1" s="60"/>
      <c r="K1" s="60"/>
      <c r="L1" s="60"/>
      <c r="M1" s="60"/>
      <c r="N1" s="60"/>
    </row>
    <row r="2" spans="1:14" ht="26.4">
      <c r="A2" s="2" t="s">
        <v>70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16</v>
      </c>
      <c r="G2" s="2" t="s">
        <v>75</v>
      </c>
      <c r="H2" s="2" t="s">
        <v>76</v>
      </c>
      <c r="I2" s="2" t="s">
        <v>77</v>
      </c>
      <c r="J2" s="2" t="s">
        <v>78</v>
      </c>
      <c r="K2" s="2" t="s">
        <v>79</v>
      </c>
      <c r="L2" s="2" t="s">
        <v>80</v>
      </c>
      <c r="M2" s="2" t="s">
        <v>81</v>
      </c>
      <c r="N2" s="2" t="s">
        <v>82</v>
      </c>
    </row>
    <row r="3" spans="1:14">
      <c r="A3" s="3">
        <f t="shared" ref="A3:A34" si="0">ROW()-2</f>
        <v>1</v>
      </c>
      <c r="B3" s="3" t="s">
        <v>83</v>
      </c>
      <c r="C3" s="3" t="s">
        <v>84</v>
      </c>
      <c r="D3" s="3">
        <v>4500438.3</v>
      </c>
      <c r="E3" s="3">
        <v>0</v>
      </c>
      <c r="F3" s="3">
        <v>0</v>
      </c>
      <c r="G3" s="3">
        <v>307954</v>
      </c>
      <c r="H3" s="3">
        <v>20171009</v>
      </c>
      <c r="I3" s="4">
        <f t="shared" ref="I3:I34" si="1">D3*0.08</f>
        <v>360035.06400000001</v>
      </c>
      <c r="J3" s="4">
        <f t="shared" ref="J3:J34" si="2">E3*0.022</f>
        <v>0</v>
      </c>
      <c r="K3" s="4">
        <f t="shared" ref="K3:K34" si="3">F3*1.28</f>
        <v>0</v>
      </c>
      <c r="L3" s="4">
        <f t="shared" ref="L3:L34" si="4">SUM(I3,J3,K3)</f>
        <v>360035.06400000001</v>
      </c>
      <c r="M3" s="4">
        <f>L3</f>
        <v>360035.06400000001</v>
      </c>
      <c r="N3" s="4">
        <f>L148-M3</f>
        <v>1464320.3681999994</v>
      </c>
    </row>
    <row r="4" spans="1:14">
      <c r="A4" s="3">
        <f t="shared" si="0"/>
        <v>2</v>
      </c>
      <c r="B4" s="3" t="s">
        <v>83</v>
      </c>
      <c r="C4" s="3" t="s">
        <v>85</v>
      </c>
      <c r="D4" s="3">
        <v>2307754.9</v>
      </c>
      <c r="E4" s="3">
        <v>0</v>
      </c>
      <c r="F4" s="3">
        <v>0</v>
      </c>
      <c r="G4" s="3">
        <v>915</v>
      </c>
      <c r="H4" s="3">
        <v>20171011</v>
      </c>
      <c r="I4" s="4">
        <f t="shared" si="1"/>
        <v>184620.39199999999</v>
      </c>
      <c r="J4" s="4">
        <f t="shared" si="2"/>
        <v>0</v>
      </c>
      <c r="K4" s="4">
        <f t="shared" si="3"/>
        <v>0</v>
      </c>
      <c r="L4" s="4">
        <f t="shared" si="4"/>
        <v>184620.39199999999</v>
      </c>
      <c r="M4" s="4">
        <f t="shared" ref="M4:M35" si="5">L4+M3</f>
        <v>544655.45600000001</v>
      </c>
      <c r="N4" s="4">
        <f>L148-M4</f>
        <v>1279699.9761999995</v>
      </c>
    </row>
    <row r="5" spans="1:14">
      <c r="A5" s="3">
        <f t="shared" si="0"/>
        <v>3</v>
      </c>
      <c r="B5" s="3" t="s">
        <v>83</v>
      </c>
      <c r="C5" s="3" t="s">
        <v>86</v>
      </c>
      <c r="D5" s="3">
        <v>2095577.2</v>
      </c>
      <c r="E5" s="3">
        <v>2957.5</v>
      </c>
      <c r="F5" s="3">
        <v>0</v>
      </c>
      <c r="G5" s="3">
        <v>167719</v>
      </c>
      <c r="H5" s="3">
        <v>20171016</v>
      </c>
      <c r="I5" s="4">
        <f t="shared" si="1"/>
        <v>167646.17600000001</v>
      </c>
      <c r="J5" s="4">
        <f t="shared" si="2"/>
        <v>65.064999999999998</v>
      </c>
      <c r="K5" s="4">
        <f t="shared" si="3"/>
        <v>0</v>
      </c>
      <c r="L5" s="4">
        <f t="shared" si="4"/>
        <v>167711.24100000001</v>
      </c>
      <c r="M5" s="4">
        <f t="shared" si="5"/>
        <v>712366.69700000004</v>
      </c>
      <c r="N5" s="4">
        <f>L148-M5</f>
        <v>1111988.7351999995</v>
      </c>
    </row>
    <row r="6" spans="1:14">
      <c r="A6" s="3">
        <f t="shared" si="0"/>
        <v>4</v>
      </c>
      <c r="B6" s="3" t="s">
        <v>83</v>
      </c>
      <c r="C6" s="3" t="s">
        <v>87</v>
      </c>
      <c r="D6" s="3">
        <v>0.1</v>
      </c>
      <c r="E6" s="3">
        <v>5092168.7</v>
      </c>
      <c r="F6" s="3">
        <v>0</v>
      </c>
      <c r="G6" s="3">
        <v>17318</v>
      </c>
      <c r="H6" s="3">
        <v>20171010</v>
      </c>
      <c r="I6" s="4">
        <f t="shared" si="1"/>
        <v>8.0000000000000002E-3</v>
      </c>
      <c r="J6" s="4">
        <f t="shared" si="2"/>
        <v>112027.7114</v>
      </c>
      <c r="K6" s="4">
        <f t="shared" si="3"/>
        <v>0</v>
      </c>
      <c r="L6" s="4">
        <f t="shared" si="4"/>
        <v>112027.7194</v>
      </c>
      <c r="M6" s="4">
        <f t="shared" si="5"/>
        <v>824394.41639999999</v>
      </c>
      <c r="N6" s="4">
        <f>L148-M6</f>
        <v>999961.01579999947</v>
      </c>
    </row>
    <row r="7" spans="1:14">
      <c r="A7" s="3">
        <f t="shared" si="0"/>
        <v>5</v>
      </c>
      <c r="B7" s="3" t="s">
        <v>83</v>
      </c>
      <c r="C7" s="3" t="s">
        <v>88</v>
      </c>
      <c r="D7" s="3">
        <v>1381470.1</v>
      </c>
      <c r="E7" s="3">
        <v>0</v>
      </c>
      <c r="F7" s="3">
        <v>0.1</v>
      </c>
      <c r="G7" s="3">
        <v>7662</v>
      </c>
      <c r="H7" s="3">
        <v>20170911</v>
      </c>
      <c r="I7" s="4">
        <f t="shared" si="1"/>
        <v>110517.60800000001</v>
      </c>
      <c r="J7" s="4">
        <f t="shared" si="2"/>
        <v>0</v>
      </c>
      <c r="K7" s="4">
        <f t="shared" si="3"/>
        <v>0.128</v>
      </c>
      <c r="L7" s="4">
        <f t="shared" si="4"/>
        <v>110517.736</v>
      </c>
      <c r="M7" s="4">
        <f t="shared" si="5"/>
        <v>934912.15240000002</v>
      </c>
      <c r="N7" s="4">
        <f>L148-M7</f>
        <v>889443.27979999944</v>
      </c>
    </row>
    <row r="8" spans="1:14">
      <c r="A8" s="3">
        <f t="shared" si="0"/>
        <v>6</v>
      </c>
      <c r="B8" s="3" t="s">
        <v>83</v>
      </c>
      <c r="C8" s="3" t="s">
        <v>89</v>
      </c>
      <c r="D8" s="3">
        <v>936271.7</v>
      </c>
      <c r="E8" s="3">
        <v>1.2</v>
      </c>
      <c r="F8" s="3">
        <v>0</v>
      </c>
      <c r="G8" s="3">
        <v>3464</v>
      </c>
      <c r="H8" s="3">
        <v>20170927</v>
      </c>
      <c r="I8" s="4">
        <f t="shared" si="1"/>
        <v>74901.736000000004</v>
      </c>
      <c r="J8" s="4">
        <f t="shared" si="2"/>
        <v>2.6399999999999996E-2</v>
      </c>
      <c r="K8" s="4">
        <f t="shared" si="3"/>
        <v>0</v>
      </c>
      <c r="L8" s="4">
        <f t="shared" si="4"/>
        <v>74901.762400000007</v>
      </c>
      <c r="M8" s="4">
        <f t="shared" si="5"/>
        <v>1009813.9148</v>
      </c>
      <c r="N8" s="4">
        <f>L148-M8</f>
        <v>814541.51739999943</v>
      </c>
    </row>
    <row r="9" spans="1:14">
      <c r="A9" s="3">
        <f t="shared" si="0"/>
        <v>7</v>
      </c>
      <c r="B9" s="3" t="s">
        <v>83</v>
      </c>
      <c r="C9" s="3" t="s">
        <v>90</v>
      </c>
      <c r="D9" s="3">
        <v>904875.9</v>
      </c>
      <c r="E9" s="3">
        <v>0</v>
      </c>
      <c r="F9" s="3">
        <v>0</v>
      </c>
      <c r="G9" s="3">
        <v>2168</v>
      </c>
      <c r="H9" s="3">
        <v>20171016</v>
      </c>
      <c r="I9" s="4">
        <f t="shared" si="1"/>
        <v>72390.072</v>
      </c>
      <c r="J9" s="4">
        <f t="shared" si="2"/>
        <v>0</v>
      </c>
      <c r="K9" s="4">
        <f t="shared" si="3"/>
        <v>0</v>
      </c>
      <c r="L9" s="4">
        <f t="shared" si="4"/>
        <v>72390.072</v>
      </c>
      <c r="M9" s="4">
        <f t="shared" si="5"/>
        <v>1082203.9868000001</v>
      </c>
      <c r="N9" s="4">
        <f>L148-M9</f>
        <v>742151.44539999939</v>
      </c>
    </row>
    <row r="10" spans="1:14">
      <c r="A10" s="3">
        <f t="shared" si="0"/>
        <v>8</v>
      </c>
      <c r="B10" s="3" t="s">
        <v>83</v>
      </c>
      <c r="C10" s="3" t="s">
        <v>91</v>
      </c>
      <c r="D10" s="3">
        <v>855373.3</v>
      </c>
      <c r="E10" s="3">
        <v>3865.8</v>
      </c>
      <c r="F10" s="3">
        <v>0</v>
      </c>
      <c r="G10" s="3">
        <v>13821</v>
      </c>
      <c r="H10" s="3">
        <v>20171012</v>
      </c>
      <c r="I10" s="4">
        <f t="shared" si="1"/>
        <v>68429.864000000001</v>
      </c>
      <c r="J10" s="4">
        <f t="shared" si="2"/>
        <v>85.047600000000003</v>
      </c>
      <c r="K10" s="4">
        <f t="shared" si="3"/>
        <v>0</v>
      </c>
      <c r="L10" s="4">
        <f t="shared" si="4"/>
        <v>68514.911600000007</v>
      </c>
      <c r="M10" s="4">
        <f t="shared" si="5"/>
        <v>1150718.8984000001</v>
      </c>
      <c r="N10" s="4">
        <f>L148-M10</f>
        <v>673636.53379999939</v>
      </c>
    </row>
    <row r="11" spans="1:14">
      <c r="A11" s="3">
        <f t="shared" si="0"/>
        <v>9</v>
      </c>
      <c r="B11" s="3" t="s">
        <v>83</v>
      </c>
      <c r="C11" s="3" t="s">
        <v>92</v>
      </c>
      <c r="D11" s="3">
        <v>5.0999999999999996</v>
      </c>
      <c r="E11" s="3">
        <v>2917262.7</v>
      </c>
      <c r="F11" s="3">
        <v>0</v>
      </c>
      <c r="G11" s="3">
        <v>2790</v>
      </c>
      <c r="H11" s="3">
        <v>20171015</v>
      </c>
      <c r="I11" s="4">
        <f t="shared" si="1"/>
        <v>0.40799999999999997</v>
      </c>
      <c r="J11" s="4">
        <f t="shared" si="2"/>
        <v>64179.779399999999</v>
      </c>
      <c r="K11" s="4">
        <f t="shared" si="3"/>
        <v>0</v>
      </c>
      <c r="L11" s="4">
        <f t="shared" si="4"/>
        <v>64180.187400000003</v>
      </c>
      <c r="M11" s="4">
        <f t="shared" si="5"/>
        <v>1214899.0858</v>
      </c>
      <c r="N11" s="4">
        <f>L148-M11</f>
        <v>609456.34639999946</v>
      </c>
    </row>
    <row r="12" spans="1:14">
      <c r="A12" s="3">
        <f t="shared" si="0"/>
        <v>10</v>
      </c>
      <c r="B12" s="3" t="s">
        <v>83</v>
      </c>
      <c r="C12" s="3" t="s">
        <v>93</v>
      </c>
      <c r="D12" s="3">
        <v>740016.3</v>
      </c>
      <c r="E12" s="3">
        <v>0</v>
      </c>
      <c r="F12" s="3">
        <v>0</v>
      </c>
      <c r="G12" s="3">
        <v>9135</v>
      </c>
      <c r="H12" s="3">
        <v>20171016</v>
      </c>
      <c r="I12" s="4">
        <f t="shared" si="1"/>
        <v>59201.304000000004</v>
      </c>
      <c r="J12" s="4">
        <f t="shared" si="2"/>
        <v>0</v>
      </c>
      <c r="K12" s="4">
        <f t="shared" si="3"/>
        <v>0</v>
      </c>
      <c r="L12" s="4">
        <f t="shared" si="4"/>
        <v>59201.304000000004</v>
      </c>
      <c r="M12" s="4">
        <f t="shared" si="5"/>
        <v>1274100.3898</v>
      </c>
      <c r="N12" s="4">
        <f>L148-M12</f>
        <v>550255.04239999945</v>
      </c>
    </row>
    <row r="13" spans="1:14">
      <c r="A13" s="3">
        <f t="shared" si="0"/>
        <v>11</v>
      </c>
      <c r="B13" s="3" t="s">
        <v>83</v>
      </c>
      <c r="C13" s="3" t="s">
        <v>94</v>
      </c>
      <c r="D13" s="3">
        <v>472833.1</v>
      </c>
      <c r="E13" s="3">
        <v>201143.7</v>
      </c>
      <c r="F13" s="3">
        <v>0</v>
      </c>
      <c r="G13" s="3">
        <v>2356</v>
      </c>
      <c r="H13" s="3">
        <v>20170911</v>
      </c>
      <c r="I13" s="4">
        <f t="shared" si="1"/>
        <v>37826.648000000001</v>
      </c>
      <c r="J13" s="4">
        <f t="shared" si="2"/>
        <v>4425.1614</v>
      </c>
      <c r="K13" s="4">
        <f t="shared" si="3"/>
        <v>0</v>
      </c>
      <c r="L13" s="4">
        <f t="shared" si="4"/>
        <v>42251.809399999998</v>
      </c>
      <c r="M13" s="4">
        <f t="shared" si="5"/>
        <v>1316352.1991999999</v>
      </c>
      <c r="N13" s="4">
        <f>L148-M13</f>
        <v>508003.23299999954</v>
      </c>
    </row>
    <row r="14" spans="1:14">
      <c r="A14" s="3">
        <f t="shared" si="0"/>
        <v>12</v>
      </c>
      <c r="B14" s="3" t="s">
        <v>83</v>
      </c>
      <c r="C14" s="3" t="s">
        <v>95</v>
      </c>
      <c r="D14" s="3">
        <v>495492</v>
      </c>
      <c r="E14" s="3">
        <v>0</v>
      </c>
      <c r="F14" s="3">
        <v>0</v>
      </c>
      <c r="G14" s="3">
        <v>1624</v>
      </c>
      <c r="H14" s="3">
        <v>20170721</v>
      </c>
      <c r="I14" s="4">
        <f t="shared" si="1"/>
        <v>39639.360000000001</v>
      </c>
      <c r="J14" s="4">
        <f t="shared" si="2"/>
        <v>0</v>
      </c>
      <c r="K14" s="4">
        <f t="shared" si="3"/>
        <v>0</v>
      </c>
      <c r="L14" s="4">
        <f t="shared" si="4"/>
        <v>39639.360000000001</v>
      </c>
      <c r="M14" s="4">
        <f t="shared" si="5"/>
        <v>1355991.5592</v>
      </c>
      <c r="N14" s="4">
        <f>L148-M14</f>
        <v>468363.87299999944</v>
      </c>
    </row>
    <row r="15" spans="1:14">
      <c r="A15" s="3">
        <f t="shared" si="0"/>
        <v>13</v>
      </c>
      <c r="B15" s="3" t="s">
        <v>96</v>
      </c>
      <c r="C15" s="3" t="s">
        <v>97</v>
      </c>
      <c r="D15" s="3">
        <v>423912.7</v>
      </c>
      <c r="E15" s="3">
        <v>0</v>
      </c>
      <c r="F15" s="3">
        <v>0</v>
      </c>
      <c r="G15" s="3">
        <v>858</v>
      </c>
      <c r="H15" s="3">
        <v>20170720</v>
      </c>
      <c r="I15" s="4">
        <f t="shared" si="1"/>
        <v>33913.016000000003</v>
      </c>
      <c r="J15" s="4">
        <f t="shared" si="2"/>
        <v>0</v>
      </c>
      <c r="K15" s="4">
        <f t="shared" si="3"/>
        <v>0</v>
      </c>
      <c r="L15" s="4">
        <f t="shared" si="4"/>
        <v>33913.016000000003</v>
      </c>
      <c r="M15" s="4">
        <f t="shared" si="5"/>
        <v>1389904.5752000001</v>
      </c>
      <c r="N15" s="4">
        <f>L148-M15</f>
        <v>434450.85699999938</v>
      </c>
    </row>
    <row r="16" spans="1:14">
      <c r="A16" s="3">
        <f t="shared" si="0"/>
        <v>14</v>
      </c>
      <c r="B16" s="3" t="s">
        <v>96</v>
      </c>
      <c r="C16" s="3" t="s">
        <v>98</v>
      </c>
      <c r="D16" s="3">
        <v>411122.1</v>
      </c>
      <c r="E16" s="3">
        <v>0</v>
      </c>
      <c r="F16" s="3">
        <v>0</v>
      </c>
      <c r="G16" s="3">
        <v>240</v>
      </c>
      <c r="H16" s="3">
        <v>20170930</v>
      </c>
      <c r="I16" s="4">
        <f t="shared" si="1"/>
        <v>32889.767999999996</v>
      </c>
      <c r="J16" s="4">
        <f t="shared" si="2"/>
        <v>0</v>
      </c>
      <c r="K16" s="4">
        <f t="shared" si="3"/>
        <v>0</v>
      </c>
      <c r="L16" s="4">
        <f t="shared" si="4"/>
        <v>32889.767999999996</v>
      </c>
      <c r="M16" s="4">
        <f t="shared" si="5"/>
        <v>1422794.3432</v>
      </c>
      <c r="N16" s="4">
        <f>L148-M16</f>
        <v>401561.08899999945</v>
      </c>
    </row>
    <row r="17" spans="1:14">
      <c r="A17" s="3">
        <f t="shared" si="0"/>
        <v>15</v>
      </c>
      <c r="B17" s="3" t="s">
        <v>83</v>
      </c>
      <c r="C17" s="3" t="s">
        <v>99</v>
      </c>
      <c r="D17" s="3">
        <v>349325</v>
      </c>
      <c r="E17" s="3">
        <v>0</v>
      </c>
      <c r="F17" s="3">
        <v>0</v>
      </c>
      <c r="G17" s="3">
        <v>291</v>
      </c>
      <c r="H17" s="3">
        <v>20170610</v>
      </c>
      <c r="I17" s="4">
        <f t="shared" si="1"/>
        <v>27946</v>
      </c>
      <c r="J17" s="4">
        <f t="shared" si="2"/>
        <v>0</v>
      </c>
      <c r="K17" s="4">
        <f t="shared" si="3"/>
        <v>0</v>
      </c>
      <c r="L17" s="4">
        <f t="shared" si="4"/>
        <v>27946</v>
      </c>
      <c r="M17" s="4">
        <f t="shared" si="5"/>
        <v>1450740.3432</v>
      </c>
      <c r="N17" s="4">
        <f>L148-M17</f>
        <v>373615.08899999945</v>
      </c>
    </row>
    <row r="18" spans="1:14">
      <c r="A18" s="3">
        <f t="shared" si="0"/>
        <v>16</v>
      </c>
      <c r="B18" s="3" t="s">
        <v>100</v>
      </c>
      <c r="C18" s="3" t="s">
        <v>101</v>
      </c>
      <c r="D18" s="3">
        <v>314470.90000000002</v>
      </c>
      <c r="E18" s="3">
        <v>0</v>
      </c>
      <c r="F18" s="3">
        <v>0</v>
      </c>
      <c r="G18" s="3">
        <v>555</v>
      </c>
      <c r="H18" s="3">
        <v>20170604</v>
      </c>
      <c r="I18" s="4">
        <f t="shared" si="1"/>
        <v>25157.672000000002</v>
      </c>
      <c r="J18" s="4">
        <f t="shared" si="2"/>
        <v>0</v>
      </c>
      <c r="K18" s="4">
        <f t="shared" si="3"/>
        <v>0</v>
      </c>
      <c r="L18" s="4">
        <f t="shared" si="4"/>
        <v>25157.672000000002</v>
      </c>
      <c r="M18" s="4">
        <f t="shared" si="5"/>
        <v>1475898.0152</v>
      </c>
      <c r="N18" s="4">
        <f>L148-M18</f>
        <v>348457.41699999943</v>
      </c>
    </row>
    <row r="19" spans="1:14">
      <c r="A19" s="3">
        <f t="shared" si="0"/>
        <v>17</v>
      </c>
      <c r="B19" s="3" t="s">
        <v>100</v>
      </c>
      <c r="C19" s="3" t="s">
        <v>102</v>
      </c>
      <c r="D19" s="3">
        <v>310034.5</v>
      </c>
      <c r="E19" s="3">
        <v>0</v>
      </c>
      <c r="F19" s="3">
        <v>0</v>
      </c>
      <c r="G19" s="3">
        <v>2168</v>
      </c>
      <c r="H19" s="3">
        <v>20170716</v>
      </c>
      <c r="I19" s="4">
        <f t="shared" si="1"/>
        <v>24802.760000000002</v>
      </c>
      <c r="J19" s="4">
        <f t="shared" si="2"/>
        <v>0</v>
      </c>
      <c r="K19" s="4">
        <f t="shared" si="3"/>
        <v>0</v>
      </c>
      <c r="L19" s="4">
        <f t="shared" si="4"/>
        <v>24802.760000000002</v>
      </c>
      <c r="M19" s="4">
        <f t="shared" si="5"/>
        <v>1500700.7752</v>
      </c>
      <c r="N19" s="4">
        <f>L148-M19</f>
        <v>323654.65699999942</v>
      </c>
    </row>
    <row r="20" spans="1:14">
      <c r="A20" s="3">
        <f t="shared" si="0"/>
        <v>18</v>
      </c>
      <c r="B20" s="3" t="s">
        <v>83</v>
      </c>
      <c r="C20" s="3" t="s">
        <v>103</v>
      </c>
      <c r="D20" s="3">
        <v>264105.40000000002</v>
      </c>
      <c r="E20" s="3">
        <v>0</v>
      </c>
      <c r="F20" s="3">
        <v>0</v>
      </c>
      <c r="G20" s="3">
        <v>1009</v>
      </c>
      <c r="H20" s="3">
        <v>20170403</v>
      </c>
      <c r="I20" s="4">
        <f t="shared" si="1"/>
        <v>21128.432000000001</v>
      </c>
      <c r="J20" s="4">
        <f t="shared" si="2"/>
        <v>0</v>
      </c>
      <c r="K20" s="4">
        <f t="shared" si="3"/>
        <v>0</v>
      </c>
      <c r="L20" s="4">
        <f t="shared" si="4"/>
        <v>21128.432000000001</v>
      </c>
      <c r="M20" s="4">
        <f t="shared" si="5"/>
        <v>1521829.2072000001</v>
      </c>
      <c r="N20" s="4">
        <f>L148-M20</f>
        <v>302526.22499999939</v>
      </c>
    </row>
    <row r="21" spans="1:14">
      <c r="A21" s="3">
        <f t="shared" si="0"/>
        <v>19</v>
      </c>
      <c r="B21" s="3" t="s">
        <v>83</v>
      </c>
      <c r="C21" s="3" t="s">
        <v>104</v>
      </c>
      <c r="D21" s="3">
        <v>0.1</v>
      </c>
      <c r="E21" s="3">
        <v>958158.7</v>
      </c>
      <c r="F21" s="3">
        <v>0</v>
      </c>
      <c r="G21" s="3">
        <v>16104</v>
      </c>
      <c r="H21" s="3">
        <v>20171001</v>
      </c>
      <c r="I21" s="4">
        <f t="shared" si="1"/>
        <v>8.0000000000000002E-3</v>
      </c>
      <c r="J21" s="4">
        <f t="shared" si="2"/>
        <v>21079.491399999999</v>
      </c>
      <c r="K21" s="4">
        <f t="shared" si="3"/>
        <v>0</v>
      </c>
      <c r="L21" s="4">
        <f t="shared" si="4"/>
        <v>21079.499400000001</v>
      </c>
      <c r="M21" s="4">
        <f t="shared" si="5"/>
        <v>1542908.7066000002</v>
      </c>
      <c r="N21" s="4">
        <f>L148-M21</f>
        <v>281446.72559999931</v>
      </c>
    </row>
    <row r="22" spans="1:14">
      <c r="A22" s="3">
        <f t="shared" si="0"/>
        <v>20</v>
      </c>
      <c r="B22" s="3" t="s">
        <v>100</v>
      </c>
      <c r="C22" s="3" t="s">
        <v>105</v>
      </c>
      <c r="D22" s="3">
        <v>147.19999999999999</v>
      </c>
      <c r="E22" s="3">
        <v>893075.1</v>
      </c>
      <c r="F22" s="3">
        <v>0</v>
      </c>
      <c r="G22" s="3">
        <v>9274</v>
      </c>
      <c r="H22" s="3">
        <v>20170427</v>
      </c>
      <c r="I22" s="4">
        <f t="shared" si="1"/>
        <v>11.776</v>
      </c>
      <c r="J22" s="4">
        <f t="shared" si="2"/>
        <v>19647.652199999997</v>
      </c>
      <c r="K22" s="4">
        <f t="shared" si="3"/>
        <v>0</v>
      </c>
      <c r="L22" s="4">
        <f t="shared" si="4"/>
        <v>19659.428199999998</v>
      </c>
      <c r="M22" s="4">
        <f t="shared" si="5"/>
        <v>1562568.1348000001</v>
      </c>
      <c r="N22" s="4">
        <f>L148-M22</f>
        <v>261787.29739999934</v>
      </c>
    </row>
    <row r="23" spans="1:14">
      <c r="A23" s="3">
        <f t="shared" si="0"/>
        <v>21</v>
      </c>
      <c r="B23" s="3" t="s">
        <v>83</v>
      </c>
      <c r="C23" s="3" t="s">
        <v>106</v>
      </c>
      <c r="D23" s="3">
        <v>210605.4</v>
      </c>
      <c r="E23" s="3">
        <v>0</v>
      </c>
      <c r="F23" s="3">
        <v>0</v>
      </c>
      <c r="G23" s="3">
        <v>1848</v>
      </c>
      <c r="H23" s="3">
        <v>20170908</v>
      </c>
      <c r="I23" s="4">
        <f t="shared" si="1"/>
        <v>16848.432000000001</v>
      </c>
      <c r="J23" s="4">
        <f t="shared" si="2"/>
        <v>0</v>
      </c>
      <c r="K23" s="4">
        <f t="shared" si="3"/>
        <v>0</v>
      </c>
      <c r="L23" s="4">
        <f t="shared" si="4"/>
        <v>16848.432000000001</v>
      </c>
      <c r="M23" s="4">
        <f t="shared" si="5"/>
        <v>1579416.5668000001</v>
      </c>
      <c r="N23" s="4">
        <f>L148-M23</f>
        <v>244938.86539999931</v>
      </c>
    </row>
    <row r="24" spans="1:14">
      <c r="A24" s="3">
        <f t="shared" si="0"/>
        <v>22</v>
      </c>
      <c r="B24" s="3" t="s">
        <v>100</v>
      </c>
      <c r="C24" s="3" t="s">
        <v>107</v>
      </c>
      <c r="D24" s="3">
        <v>48241.8</v>
      </c>
      <c r="E24" s="3">
        <v>514448.1</v>
      </c>
      <c r="F24" s="3">
        <v>0</v>
      </c>
      <c r="G24" s="3">
        <v>8431</v>
      </c>
      <c r="H24" s="3">
        <v>20171016</v>
      </c>
      <c r="I24" s="4">
        <f t="shared" si="1"/>
        <v>3859.3440000000005</v>
      </c>
      <c r="J24" s="4">
        <f t="shared" si="2"/>
        <v>11317.858199999999</v>
      </c>
      <c r="K24" s="4">
        <f t="shared" si="3"/>
        <v>0</v>
      </c>
      <c r="L24" s="4">
        <f t="shared" si="4"/>
        <v>15177.2022</v>
      </c>
      <c r="M24" s="4">
        <f t="shared" si="5"/>
        <v>1594593.7690000001</v>
      </c>
      <c r="N24" s="4">
        <f>L148-M24</f>
        <v>229761.66319999937</v>
      </c>
    </row>
    <row r="25" spans="1:14">
      <c r="A25" s="3">
        <f t="shared" si="0"/>
        <v>23</v>
      </c>
      <c r="B25" s="3" t="s">
        <v>83</v>
      </c>
      <c r="C25" s="3" t="s">
        <v>108</v>
      </c>
      <c r="D25" s="3">
        <v>146531.4</v>
      </c>
      <c r="E25" s="3">
        <v>74759.399999999994</v>
      </c>
      <c r="F25" s="3">
        <v>0</v>
      </c>
      <c r="G25" s="3">
        <v>886</v>
      </c>
      <c r="H25" s="3">
        <v>20171016</v>
      </c>
      <c r="I25" s="4">
        <f t="shared" si="1"/>
        <v>11722.512000000001</v>
      </c>
      <c r="J25" s="4">
        <f t="shared" si="2"/>
        <v>1644.7067999999997</v>
      </c>
      <c r="K25" s="4">
        <f t="shared" si="3"/>
        <v>0</v>
      </c>
      <c r="L25" s="4">
        <f t="shared" si="4"/>
        <v>13367.218800000001</v>
      </c>
      <c r="M25" s="4">
        <f t="shared" si="5"/>
        <v>1607960.9878</v>
      </c>
      <c r="N25" s="4">
        <f>L148-M25</f>
        <v>216394.44439999945</v>
      </c>
    </row>
    <row r="26" spans="1:14">
      <c r="A26" s="3">
        <f t="shared" si="0"/>
        <v>24</v>
      </c>
      <c r="B26" s="3" t="s">
        <v>83</v>
      </c>
      <c r="C26" s="3" t="s">
        <v>109</v>
      </c>
      <c r="D26" s="3">
        <v>0.1</v>
      </c>
      <c r="E26" s="3">
        <v>0</v>
      </c>
      <c r="F26" s="3">
        <v>9713.9</v>
      </c>
      <c r="G26" s="3">
        <v>213</v>
      </c>
      <c r="H26" s="3">
        <v>20171007</v>
      </c>
      <c r="I26" s="4">
        <f t="shared" si="1"/>
        <v>8.0000000000000002E-3</v>
      </c>
      <c r="J26" s="4">
        <f t="shared" si="2"/>
        <v>0</v>
      </c>
      <c r="K26" s="4">
        <f t="shared" si="3"/>
        <v>12433.791999999999</v>
      </c>
      <c r="L26" s="4">
        <f t="shared" si="4"/>
        <v>12433.8</v>
      </c>
      <c r="M26" s="4">
        <f t="shared" si="5"/>
        <v>1620394.7878</v>
      </c>
      <c r="N26" s="4">
        <f>L148-M26</f>
        <v>203960.64439999941</v>
      </c>
    </row>
    <row r="27" spans="1:14">
      <c r="A27" s="3">
        <f t="shared" si="0"/>
        <v>25</v>
      </c>
      <c r="B27" s="3" t="s">
        <v>83</v>
      </c>
      <c r="C27" s="3" t="s">
        <v>110</v>
      </c>
      <c r="D27" s="3">
        <v>151389.9</v>
      </c>
      <c r="E27" s="3">
        <v>0</v>
      </c>
      <c r="F27" s="3">
        <v>0</v>
      </c>
      <c r="G27" s="3">
        <v>834</v>
      </c>
      <c r="H27" s="3">
        <v>20170608</v>
      </c>
      <c r="I27" s="4">
        <f t="shared" si="1"/>
        <v>12111.191999999999</v>
      </c>
      <c r="J27" s="4">
        <f t="shared" si="2"/>
        <v>0</v>
      </c>
      <c r="K27" s="4">
        <f t="shared" si="3"/>
        <v>0</v>
      </c>
      <c r="L27" s="4">
        <f t="shared" si="4"/>
        <v>12111.191999999999</v>
      </c>
      <c r="M27" s="4">
        <f t="shared" si="5"/>
        <v>1632505.9798000001</v>
      </c>
      <c r="N27" s="4">
        <f>L148-M27</f>
        <v>191849.45239999937</v>
      </c>
    </row>
    <row r="28" spans="1:14">
      <c r="A28" s="3">
        <f t="shared" si="0"/>
        <v>26</v>
      </c>
      <c r="B28" s="3" t="s">
        <v>83</v>
      </c>
      <c r="C28" s="3" t="s">
        <v>111</v>
      </c>
      <c r="D28" s="3">
        <v>144105.9</v>
      </c>
      <c r="E28" s="3">
        <v>0</v>
      </c>
      <c r="F28" s="3">
        <v>0</v>
      </c>
      <c r="G28" s="3">
        <v>264</v>
      </c>
      <c r="H28" s="3">
        <v>20170912</v>
      </c>
      <c r="I28" s="4">
        <f t="shared" si="1"/>
        <v>11528.472</v>
      </c>
      <c r="J28" s="4">
        <f t="shared" si="2"/>
        <v>0</v>
      </c>
      <c r="K28" s="4">
        <f t="shared" si="3"/>
        <v>0</v>
      </c>
      <c r="L28" s="4">
        <f t="shared" si="4"/>
        <v>11528.472</v>
      </c>
      <c r="M28" s="4">
        <f t="shared" si="5"/>
        <v>1644034.4518000002</v>
      </c>
      <c r="N28" s="4">
        <f>L148-M28</f>
        <v>180320.9803999993</v>
      </c>
    </row>
    <row r="29" spans="1:14">
      <c r="A29" s="3">
        <f t="shared" si="0"/>
        <v>27</v>
      </c>
      <c r="B29" s="3" t="s">
        <v>83</v>
      </c>
      <c r="C29" s="3" t="s">
        <v>112</v>
      </c>
      <c r="D29" s="3">
        <v>140608.4</v>
      </c>
      <c r="E29" s="3">
        <v>0.1</v>
      </c>
      <c r="F29" s="3">
        <v>0</v>
      </c>
      <c r="G29" s="3">
        <v>1302</v>
      </c>
      <c r="H29" s="3">
        <v>20170721</v>
      </c>
      <c r="I29" s="4">
        <f t="shared" si="1"/>
        <v>11248.672</v>
      </c>
      <c r="J29" s="4">
        <f t="shared" si="2"/>
        <v>2.2000000000000001E-3</v>
      </c>
      <c r="K29" s="4">
        <f t="shared" si="3"/>
        <v>0</v>
      </c>
      <c r="L29" s="4">
        <f t="shared" si="4"/>
        <v>11248.674200000001</v>
      </c>
      <c r="M29" s="4">
        <f t="shared" si="5"/>
        <v>1655283.1260000002</v>
      </c>
      <c r="N29" s="4">
        <f>L148-M29</f>
        <v>169072.30619999929</v>
      </c>
    </row>
    <row r="30" spans="1:14">
      <c r="A30" s="3">
        <f t="shared" si="0"/>
        <v>28</v>
      </c>
      <c r="B30" s="3" t="s">
        <v>83</v>
      </c>
      <c r="C30" s="3" t="s">
        <v>113</v>
      </c>
      <c r="D30" s="3">
        <v>133391.4</v>
      </c>
      <c r="E30" s="3">
        <v>0</v>
      </c>
      <c r="F30" s="3">
        <v>0</v>
      </c>
      <c r="G30" s="3">
        <v>1490</v>
      </c>
      <c r="H30" s="3">
        <v>20171012</v>
      </c>
      <c r="I30" s="4">
        <f t="shared" si="1"/>
        <v>10671.312</v>
      </c>
      <c r="J30" s="4">
        <f t="shared" si="2"/>
        <v>0</v>
      </c>
      <c r="K30" s="4">
        <f t="shared" si="3"/>
        <v>0</v>
      </c>
      <c r="L30" s="4">
        <f t="shared" si="4"/>
        <v>10671.312</v>
      </c>
      <c r="M30" s="4">
        <f t="shared" si="5"/>
        <v>1665954.4380000001</v>
      </c>
      <c r="N30" s="4">
        <f>L148-M30</f>
        <v>158400.99419999938</v>
      </c>
    </row>
    <row r="31" spans="1:14" hidden="1">
      <c r="A31" s="1">
        <f t="shared" si="0"/>
        <v>29</v>
      </c>
      <c r="B31" s="1" t="s">
        <v>83</v>
      </c>
      <c r="C31" s="1" t="s">
        <v>114</v>
      </c>
      <c r="D31" s="1">
        <v>0</v>
      </c>
      <c r="E31" s="1">
        <v>3.9</v>
      </c>
      <c r="F31" s="1">
        <v>7678.7</v>
      </c>
      <c r="G31" s="1">
        <v>2903</v>
      </c>
      <c r="H31" s="1">
        <v>20171016</v>
      </c>
      <c r="I31" s="5">
        <f t="shared" si="1"/>
        <v>0</v>
      </c>
      <c r="J31" s="5">
        <f t="shared" si="2"/>
        <v>8.5799999999999987E-2</v>
      </c>
      <c r="K31" s="5">
        <f t="shared" si="3"/>
        <v>9828.7360000000008</v>
      </c>
      <c r="L31" s="5">
        <f t="shared" si="4"/>
        <v>9828.8218000000015</v>
      </c>
      <c r="M31" s="5">
        <f t="shared" si="5"/>
        <v>1675783.2598000001</v>
      </c>
      <c r="N31" s="5">
        <f>L148-M31</f>
        <v>148572.17239999934</v>
      </c>
    </row>
    <row r="32" spans="1:14" hidden="1">
      <c r="A32" s="1">
        <f t="shared" si="0"/>
        <v>30</v>
      </c>
      <c r="B32" s="1" t="s">
        <v>83</v>
      </c>
      <c r="C32" s="1" t="s">
        <v>115</v>
      </c>
      <c r="D32" s="1">
        <v>99816.6</v>
      </c>
      <c r="E32" s="1">
        <v>0.2</v>
      </c>
      <c r="F32" s="1">
        <v>0</v>
      </c>
      <c r="G32" s="1">
        <v>53099</v>
      </c>
      <c r="H32" s="1">
        <v>20170724</v>
      </c>
      <c r="I32" s="5">
        <f t="shared" si="1"/>
        <v>7985.3280000000004</v>
      </c>
      <c r="J32" s="5">
        <f t="shared" si="2"/>
        <v>4.4000000000000003E-3</v>
      </c>
      <c r="K32" s="5">
        <f t="shared" si="3"/>
        <v>0</v>
      </c>
      <c r="L32" s="5">
        <f t="shared" si="4"/>
        <v>7985.3324000000002</v>
      </c>
      <c r="M32" s="5">
        <f t="shared" si="5"/>
        <v>1683768.5922000001</v>
      </c>
      <c r="N32" s="5">
        <f>L148-M32</f>
        <v>140586.83999999939</v>
      </c>
    </row>
    <row r="33" spans="1:14" hidden="1">
      <c r="A33" s="1">
        <f t="shared" si="0"/>
        <v>31</v>
      </c>
      <c r="B33" s="1" t="s">
        <v>96</v>
      </c>
      <c r="C33" s="1" t="s">
        <v>116</v>
      </c>
      <c r="D33" s="1">
        <v>98639.7</v>
      </c>
      <c r="E33" s="1">
        <v>0</v>
      </c>
      <c r="F33" s="1">
        <v>0</v>
      </c>
      <c r="G33" s="1">
        <v>448</v>
      </c>
      <c r="H33" s="1">
        <v>20170825</v>
      </c>
      <c r="I33" s="5">
        <f t="shared" si="1"/>
        <v>7891.1760000000004</v>
      </c>
      <c r="J33" s="5">
        <f t="shared" si="2"/>
        <v>0</v>
      </c>
      <c r="K33" s="5">
        <f t="shared" si="3"/>
        <v>0</v>
      </c>
      <c r="L33" s="5">
        <f t="shared" si="4"/>
        <v>7891.1760000000004</v>
      </c>
      <c r="M33" s="5">
        <f t="shared" si="5"/>
        <v>1691659.7682</v>
      </c>
      <c r="N33" s="5">
        <f>L148-M33</f>
        <v>132695.66399999941</v>
      </c>
    </row>
    <row r="34" spans="1:14" hidden="1">
      <c r="A34" s="1">
        <f t="shared" si="0"/>
        <v>32</v>
      </c>
      <c r="B34" s="1" t="s">
        <v>96</v>
      </c>
      <c r="C34" s="1" t="s">
        <v>117</v>
      </c>
      <c r="D34" s="1">
        <v>98174.2</v>
      </c>
      <c r="E34" s="1">
        <v>0</v>
      </c>
      <c r="F34" s="1">
        <v>0</v>
      </c>
      <c r="G34" s="1">
        <v>591</v>
      </c>
      <c r="H34" s="1">
        <v>20170908</v>
      </c>
      <c r="I34" s="5">
        <f t="shared" si="1"/>
        <v>7853.9359999999997</v>
      </c>
      <c r="J34" s="5">
        <f t="shared" si="2"/>
        <v>0</v>
      </c>
      <c r="K34" s="5">
        <f t="shared" si="3"/>
        <v>0</v>
      </c>
      <c r="L34" s="5">
        <f t="shared" si="4"/>
        <v>7853.9359999999997</v>
      </c>
      <c r="M34" s="5">
        <f t="shared" si="5"/>
        <v>1699513.7042</v>
      </c>
      <c r="N34" s="5">
        <f>L148-M34</f>
        <v>124841.72799999942</v>
      </c>
    </row>
    <row r="35" spans="1:14" hidden="1">
      <c r="A35" s="1">
        <f t="shared" ref="A35:A66" si="6">ROW()-2</f>
        <v>33</v>
      </c>
      <c r="B35" s="1" t="s">
        <v>83</v>
      </c>
      <c r="C35" s="1" t="s">
        <v>118</v>
      </c>
      <c r="D35" s="1">
        <v>93964.800000000003</v>
      </c>
      <c r="E35" s="1">
        <v>0</v>
      </c>
      <c r="F35" s="1">
        <v>0</v>
      </c>
      <c r="G35" s="1">
        <v>186</v>
      </c>
      <c r="H35" s="1">
        <v>20170321</v>
      </c>
      <c r="I35" s="5">
        <f t="shared" ref="I35:I66" si="7">D35*0.08</f>
        <v>7517.1840000000002</v>
      </c>
      <c r="J35" s="5">
        <f t="shared" ref="J35:J66" si="8">E35*0.022</f>
        <v>0</v>
      </c>
      <c r="K35" s="5">
        <f t="shared" ref="K35:K66" si="9">F35*1.28</f>
        <v>0</v>
      </c>
      <c r="L35" s="5">
        <f t="shared" ref="L35:L66" si="10">SUM(I35,J35,K35)</f>
        <v>7517.1840000000002</v>
      </c>
      <c r="M35" s="5">
        <f t="shared" si="5"/>
        <v>1707030.8881999999</v>
      </c>
      <c r="N35" s="5">
        <f>L148-M35</f>
        <v>117324.54399999953</v>
      </c>
    </row>
    <row r="36" spans="1:14" hidden="1">
      <c r="A36" s="1">
        <f t="shared" si="6"/>
        <v>34</v>
      </c>
      <c r="B36" s="1" t="s">
        <v>83</v>
      </c>
      <c r="C36" s="1" t="s">
        <v>119</v>
      </c>
      <c r="D36" s="1">
        <v>91962.4</v>
      </c>
      <c r="E36" s="1">
        <v>0</v>
      </c>
      <c r="F36" s="1">
        <v>0</v>
      </c>
      <c r="G36" s="1">
        <v>241</v>
      </c>
      <c r="H36" s="1">
        <v>20161211</v>
      </c>
      <c r="I36" s="5">
        <f t="shared" si="7"/>
        <v>7356.9919999999993</v>
      </c>
      <c r="J36" s="5">
        <f t="shared" si="8"/>
        <v>0</v>
      </c>
      <c r="K36" s="5">
        <f t="shared" si="9"/>
        <v>0</v>
      </c>
      <c r="L36" s="5">
        <f t="shared" si="10"/>
        <v>7356.9919999999993</v>
      </c>
      <c r="M36" s="5">
        <f t="shared" ref="M36:M67" si="11">L36+M35</f>
        <v>1714387.8802</v>
      </c>
      <c r="N36" s="5">
        <f>L148-M36</f>
        <v>109967.55199999944</v>
      </c>
    </row>
    <row r="37" spans="1:14" hidden="1">
      <c r="A37" s="1">
        <f t="shared" si="6"/>
        <v>35</v>
      </c>
      <c r="B37" s="1" t="s">
        <v>83</v>
      </c>
      <c r="C37" s="1" t="s">
        <v>120</v>
      </c>
      <c r="D37" s="1">
        <v>91264.2</v>
      </c>
      <c r="E37" s="1">
        <v>990.5</v>
      </c>
      <c r="F37" s="1">
        <v>0</v>
      </c>
      <c r="G37" s="1">
        <v>1753</v>
      </c>
      <c r="H37" s="1">
        <v>20171016</v>
      </c>
      <c r="I37" s="5">
        <f t="shared" si="7"/>
        <v>7301.1359999999995</v>
      </c>
      <c r="J37" s="5">
        <f t="shared" si="8"/>
        <v>21.791</v>
      </c>
      <c r="K37" s="5">
        <f t="shared" si="9"/>
        <v>0</v>
      </c>
      <c r="L37" s="5">
        <f t="shared" si="10"/>
        <v>7322.9269999999997</v>
      </c>
      <c r="M37" s="5">
        <f t="shared" si="11"/>
        <v>1721710.8071999999</v>
      </c>
      <c r="N37" s="5">
        <f>L148-M37</f>
        <v>102644.62499999953</v>
      </c>
    </row>
    <row r="38" spans="1:14" hidden="1">
      <c r="A38" s="1">
        <f t="shared" si="6"/>
        <v>36</v>
      </c>
      <c r="B38" s="1" t="s">
        <v>83</v>
      </c>
      <c r="C38" s="1" t="s">
        <v>121</v>
      </c>
      <c r="D38" s="1">
        <v>87756</v>
      </c>
      <c r="E38" s="1">
        <v>0</v>
      </c>
      <c r="F38" s="1">
        <v>0</v>
      </c>
      <c r="G38" s="1">
        <v>8227</v>
      </c>
      <c r="H38" s="1">
        <v>20170813</v>
      </c>
      <c r="I38" s="5">
        <f t="shared" si="7"/>
        <v>7020.4800000000005</v>
      </c>
      <c r="J38" s="5">
        <f t="shared" si="8"/>
        <v>0</v>
      </c>
      <c r="K38" s="5">
        <f t="shared" si="9"/>
        <v>0</v>
      </c>
      <c r="L38" s="5">
        <f t="shared" si="10"/>
        <v>7020.4800000000005</v>
      </c>
      <c r="M38" s="5">
        <f t="shared" si="11"/>
        <v>1728731.2871999999</v>
      </c>
      <c r="N38" s="5">
        <f>L148-M38</f>
        <v>95624.144999999553</v>
      </c>
    </row>
    <row r="39" spans="1:14" hidden="1">
      <c r="A39" s="1">
        <f t="shared" si="6"/>
        <v>37</v>
      </c>
      <c r="B39" s="1" t="s">
        <v>83</v>
      </c>
      <c r="C39" s="1" t="s">
        <v>122</v>
      </c>
      <c r="D39" s="1">
        <v>83579.199999999997</v>
      </c>
      <c r="E39" s="1">
        <v>0</v>
      </c>
      <c r="F39" s="1">
        <v>0</v>
      </c>
      <c r="G39" s="1">
        <v>5200</v>
      </c>
      <c r="H39" s="1">
        <v>20170707</v>
      </c>
      <c r="I39" s="5">
        <f t="shared" si="7"/>
        <v>6686.3360000000002</v>
      </c>
      <c r="J39" s="5">
        <f t="shared" si="8"/>
        <v>0</v>
      </c>
      <c r="K39" s="5">
        <f t="shared" si="9"/>
        <v>0</v>
      </c>
      <c r="L39" s="5">
        <f t="shared" si="10"/>
        <v>6686.3360000000002</v>
      </c>
      <c r="M39" s="5">
        <f t="shared" si="11"/>
        <v>1735417.6231999998</v>
      </c>
      <c r="N39" s="5">
        <f>L148-M39</f>
        <v>88937.808999999659</v>
      </c>
    </row>
    <row r="40" spans="1:14" hidden="1">
      <c r="A40" s="1">
        <f t="shared" si="6"/>
        <v>38</v>
      </c>
      <c r="B40" s="1" t="s">
        <v>83</v>
      </c>
      <c r="C40" s="1" t="s">
        <v>123</v>
      </c>
      <c r="D40" s="1">
        <v>81660</v>
      </c>
      <c r="E40" s="1">
        <v>1</v>
      </c>
      <c r="F40" s="1">
        <v>0</v>
      </c>
      <c r="G40" s="1">
        <v>44532</v>
      </c>
      <c r="H40" s="1">
        <v>20170927</v>
      </c>
      <c r="I40" s="5">
        <f t="shared" si="7"/>
        <v>6532.8</v>
      </c>
      <c r="J40" s="5">
        <f t="shared" si="8"/>
        <v>2.1999999999999999E-2</v>
      </c>
      <c r="K40" s="5">
        <f t="shared" si="9"/>
        <v>0</v>
      </c>
      <c r="L40" s="5">
        <f t="shared" si="10"/>
        <v>6532.8220000000001</v>
      </c>
      <c r="M40" s="5">
        <f t="shared" si="11"/>
        <v>1741950.4451999997</v>
      </c>
      <c r="N40" s="5">
        <f>L148-M40</f>
        <v>82404.986999999732</v>
      </c>
    </row>
    <row r="41" spans="1:14" hidden="1">
      <c r="A41" s="1">
        <f t="shared" si="6"/>
        <v>39</v>
      </c>
      <c r="B41" s="1" t="s">
        <v>100</v>
      </c>
      <c r="C41" s="1" t="s">
        <v>124</v>
      </c>
      <c r="D41" s="1">
        <v>77444.7</v>
      </c>
      <c r="E41" s="1">
        <v>0</v>
      </c>
      <c r="F41" s="1">
        <v>0</v>
      </c>
      <c r="G41" s="1">
        <v>4928</v>
      </c>
      <c r="H41" s="1">
        <v>20170602</v>
      </c>
      <c r="I41" s="5">
        <f t="shared" si="7"/>
        <v>6195.576</v>
      </c>
      <c r="J41" s="5">
        <f t="shared" si="8"/>
        <v>0</v>
      </c>
      <c r="K41" s="5">
        <f t="shared" si="9"/>
        <v>0</v>
      </c>
      <c r="L41" s="5">
        <f t="shared" si="10"/>
        <v>6195.576</v>
      </c>
      <c r="M41" s="5">
        <f t="shared" si="11"/>
        <v>1748146.0211999996</v>
      </c>
      <c r="N41" s="5">
        <f>L148-M41</f>
        <v>76209.410999999847</v>
      </c>
    </row>
    <row r="42" spans="1:14" hidden="1">
      <c r="A42" s="1">
        <f t="shared" si="6"/>
        <v>40</v>
      </c>
      <c r="B42" s="1" t="s">
        <v>83</v>
      </c>
      <c r="C42" s="1" t="s">
        <v>125</v>
      </c>
      <c r="D42" s="1">
        <v>75062.3</v>
      </c>
      <c r="E42" s="1">
        <v>0</v>
      </c>
      <c r="F42" s="1">
        <v>0</v>
      </c>
      <c r="G42" s="1">
        <v>118</v>
      </c>
      <c r="H42" s="1">
        <v>20170425</v>
      </c>
      <c r="I42" s="5">
        <f t="shared" si="7"/>
        <v>6004.9840000000004</v>
      </c>
      <c r="J42" s="5">
        <f t="shared" si="8"/>
        <v>0</v>
      </c>
      <c r="K42" s="5">
        <f t="shared" si="9"/>
        <v>0</v>
      </c>
      <c r="L42" s="5">
        <f t="shared" si="10"/>
        <v>6004.9840000000004</v>
      </c>
      <c r="M42" s="5">
        <f t="shared" si="11"/>
        <v>1754151.0051999995</v>
      </c>
      <c r="N42" s="5">
        <f>L148-M42</f>
        <v>70204.426999999909</v>
      </c>
    </row>
    <row r="43" spans="1:14" hidden="1">
      <c r="A43" s="1">
        <f t="shared" si="6"/>
        <v>41</v>
      </c>
      <c r="B43" s="1" t="s">
        <v>83</v>
      </c>
      <c r="C43" s="1" t="s">
        <v>126</v>
      </c>
      <c r="D43" s="1">
        <v>69036.7</v>
      </c>
      <c r="E43" s="1">
        <v>0</v>
      </c>
      <c r="F43" s="1">
        <v>0</v>
      </c>
      <c r="G43" s="1">
        <v>2171</v>
      </c>
      <c r="H43" s="1">
        <v>20171012</v>
      </c>
      <c r="I43" s="5">
        <f t="shared" si="7"/>
        <v>5522.9359999999997</v>
      </c>
      <c r="J43" s="5">
        <f t="shared" si="8"/>
        <v>0</v>
      </c>
      <c r="K43" s="5">
        <f t="shared" si="9"/>
        <v>0</v>
      </c>
      <c r="L43" s="5">
        <f t="shared" si="10"/>
        <v>5522.9359999999997</v>
      </c>
      <c r="M43" s="5">
        <f t="shared" si="11"/>
        <v>1759673.9411999995</v>
      </c>
      <c r="N43" s="5">
        <f>L148-M43</f>
        <v>64681.490999999922</v>
      </c>
    </row>
    <row r="44" spans="1:14" hidden="1">
      <c r="A44" s="1">
        <f t="shared" si="6"/>
        <v>42</v>
      </c>
      <c r="B44" s="1" t="s">
        <v>83</v>
      </c>
      <c r="C44" s="1" t="s">
        <v>127</v>
      </c>
      <c r="D44" s="1">
        <v>65236.800000000003</v>
      </c>
      <c r="E44" s="1">
        <v>0</v>
      </c>
      <c r="F44" s="1">
        <v>0</v>
      </c>
      <c r="G44" s="1">
        <v>509</v>
      </c>
      <c r="H44" s="1">
        <v>20170626</v>
      </c>
      <c r="I44" s="5">
        <f t="shared" si="7"/>
        <v>5218.9440000000004</v>
      </c>
      <c r="J44" s="5">
        <f t="shared" si="8"/>
        <v>0</v>
      </c>
      <c r="K44" s="5">
        <f t="shared" si="9"/>
        <v>0</v>
      </c>
      <c r="L44" s="5">
        <f t="shared" si="10"/>
        <v>5218.9440000000004</v>
      </c>
      <c r="M44" s="5">
        <f t="shared" si="11"/>
        <v>1764892.8851999994</v>
      </c>
      <c r="N44" s="5">
        <f>L148-M44</f>
        <v>59462.54700000002</v>
      </c>
    </row>
    <row r="45" spans="1:14" hidden="1">
      <c r="A45" s="1">
        <f t="shared" si="6"/>
        <v>43</v>
      </c>
      <c r="B45" s="1" t="s">
        <v>83</v>
      </c>
      <c r="C45" s="1" t="s">
        <v>128</v>
      </c>
      <c r="D45" s="1">
        <v>5697.2</v>
      </c>
      <c r="E45" s="1">
        <v>205624.3</v>
      </c>
      <c r="F45" s="1">
        <v>0</v>
      </c>
      <c r="G45" s="1">
        <v>41</v>
      </c>
      <c r="H45" s="1">
        <v>20170116</v>
      </c>
      <c r="I45" s="5">
        <f t="shared" si="7"/>
        <v>455.77600000000001</v>
      </c>
      <c r="J45" s="5">
        <f t="shared" si="8"/>
        <v>4523.7345999999998</v>
      </c>
      <c r="K45" s="5">
        <f t="shared" si="9"/>
        <v>0</v>
      </c>
      <c r="L45" s="5">
        <f t="shared" si="10"/>
        <v>4979.5105999999996</v>
      </c>
      <c r="M45" s="5">
        <f t="shared" si="11"/>
        <v>1769872.3957999994</v>
      </c>
      <c r="N45" s="5">
        <f>L148-M45</f>
        <v>54483.036400000099</v>
      </c>
    </row>
    <row r="46" spans="1:14" hidden="1">
      <c r="A46" s="1">
        <f t="shared" si="6"/>
        <v>44</v>
      </c>
      <c r="B46" s="1" t="s">
        <v>83</v>
      </c>
      <c r="C46" s="1" t="s">
        <v>129</v>
      </c>
      <c r="D46" s="1">
        <v>59813.8</v>
      </c>
      <c r="E46" s="1">
        <v>0</v>
      </c>
      <c r="F46" s="1">
        <v>0</v>
      </c>
      <c r="G46" s="1">
        <v>3959</v>
      </c>
      <c r="H46" s="1">
        <v>20171015</v>
      </c>
      <c r="I46" s="5">
        <f t="shared" si="7"/>
        <v>4785.1040000000003</v>
      </c>
      <c r="J46" s="5">
        <f t="shared" si="8"/>
        <v>0</v>
      </c>
      <c r="K46" s="5">
        <f t="shared" si="9"/>
        <v>0</v>
      </c>
      <c r="L46" s="5">
        <f t="shared" si="10"/>
        <v>4785.1040000000003</v>
      </c>
      <c r="M46" s="5">
        <f t="shared" si="11"/>
        <v>1774657.4997999994</v>
      </c>
      <c r="N46" s="5">
        <f>L148-M46</f>
        <v>49697.932400000049</v>
      </c>
    </row>
    <row r="47" spans="1:14" hidden="1">
      <c r="A47" s="1">
        <f t="shared" si="6"/>
        <v>45</v>
      </c>
      <c r="B47" s="1" t="s">
        <v>96</v>
      </c>
      <c r="C47" s="1" t="s">
        <v>130</v>
      </c>
      <c r="D47" s="1">
        <v>52216.6</v>
      </c>
      <c r="E47" s="1">
        <v>0</v>
      </c>
      <c r="F47" s="1">
        <v>0</v>
      </c>
      <c r="G47" s="1">
        <v>98</v>
      </c>
      <c r="H47" s="1">
        <v>20171008</v>
      </c>
      <c r="I47" s="5">
        <f t="shared" si="7"/>
        <v>4177.3279999999995</v>
      </c>
      <c r="J47" s="5">
        <f t="shared" si="8"/>
        <v>0</v>
      </c>
      <c r="K47" s="5">
        <f t="shared" si="9"/>
        <v>0</v>
      </c>
      <c r="L47" s="5">
        <f t="shared" si="10"/>
        <v>4177.3279999999995</v>
      </c>
      <c r="M47" s="5">
        <f t="shared" si="11"/>
        <v>1778834.8277999994</v>
      </c>
      <c r="N47" s="5">
        <f>L148-M47</f>
        <v>45520.604400000069</v>
      </c>
    </row>
    <row r="48" spans="1:14" hidden="1">
      <c r="A48" s="1">
        <f t="shared" si="6"/>
        <v>46</v>
      </c>
      <c r="B48" s="1" t="s">
        <v>83</v>
      </c>
      <c r="C48" s="1" t="s">
        <v>131</v>
      </c>
      <c r="D48" s="1">
        <v>0.1</v>
      </c>
      <c r="E48" s="1">
        <v>20.5</v>
      </c>
      <c r="F48" s="1">
        <v>2832.9</v>
      </c>
      <c r="G48" s="1">
        <v>13684</v>
      </c>
      <c r="H48" s="1">
        <v>20171011</v>
      </c>
      <c r="I48" s="5">
        <f t="shared" si="7"/>
        <v>8.0000000000000002E-3</v>
      </c>
      <c r="J48" s="5">
        <f t="shared" si="8"/>
        <v>0.45099999999999996</v>
      </c>
      <c r="K48" s="5">
        <f t="shared" si="9"/>
        <v>3626.1120000000001</v>
      </c>
      <c r="L48" s="5">
        <f t="shared" si="10"/>
        <v>3626.5709999999999</v>
      </c>
      <c r="M48" s="5">
        <f t="shared" si="11"/>
        <v>1782461.3987999994</v>
      </c>
      <c r="N48" s="5">
        <f>L148-M48</f>
        <v>41894.033400000073</v>
      </c>
    </row>
    <row r="49" spans="1:14" hidden="1">
      <c r="A49" s="1">
        <f t="shared" si="6"/>
        <v>47</v>
      </c>
      <c r="B49" s="1" t="s">
        <v>96</v>
      </c>
      <c r="C49" s="1" t="s">
        <v>132</v>
      </c>
      <c r="D49" s="1">
        <v>40166.199999999997</v>
      </c>
      <c r="E49" s="1">
        <v>0</v>
      </c>
      <c r="F49" s="1">
        <v>0</v>
      </c>
      <c r="G49" s="1">
        <v>155</v>
      </c>
      <c r="H49" s="1">
        <v>20170608</v>
      </c>
      <c r="I49" s="5">
        <f t="shared" si="7"/>
        <v>3213.2959999999998</v>
      </c>
      <c r="J49" s="5">
        <f t="shared" si="8"/>
        <v>0</v>
      </c>
      <c r="K49" s="5">
        <f t="shared" si="9"/>
        <v>0</v>
      </c>
      <c r="L49" s="5">
        <f t="shared" si="10"/>
        <v>3213.2959999999998</v>
      </c>
      <c r="M49" s="5">
        <f t="shared" si="11"/>
        <v>1785674.6947999995</v>
      </c>
      <c r="N49" s="5">
        <f>L148-M49</f>
        <v>38680.737399999984</v>
      </c>
    </row>
    <row r="50" spans="1:14" hidden="1">
      <c r="A50" s="1">
        <f t="shared" si="6"/>
        <v>48</v>
      </c>
      <c r="B50" s="1" t="s">
        <v>100</v>
      </c>
      <c r="C50" s="1" t="s">
        <v>133</v>
      </c>
      <c r="D50" s="1">
        <v>37481.199999999997</v>
      </c>
      <c r="E50" s="1">
        <v>7317.5</v>
      </c>
      <c r="F50" s="1">
        <v>0</v>
      </c>
      <c r="G50" s="1">
        <v>1158</v>
      </c>
      <c r="H50" s="1">
        <v>20171015</v>
      </c>
      <c r="I50" s="5">
        <f t="shared" si="7"/>
        <v>2998.4959999999996</v>
      </c>
      <c r="J50" s="5">
        <f t="shared" si="8"/>
        <v>160.98499999999999</v>
      </c>
      <c r="K50" s="5">
        <f t="shared" si="9"/>
        <v>0</v>
      </c>
      <c r="L50" s="5">
        <f t="shared" si="10"/>
        <v>3159.4809999999998</v>
      </c>
      <c r="M50" s="5">
        <f t="shared" si="11"/>
        <v>1788834.1757999994</v>
      </c>
      <c r="N50" s="5">
        <f>L148-M50</f>
        <v>35521.256400000071</v>
      </c>
    </row>
    <row r="51" spans="1:14" hidden="1">
      <c r="A51" s="1">
        <f t="shared" si="6"/>
        <v>49</v>
      </c>
      <c r="B51" s="1" t="s">
        <v>83</v>
      </c>
      <c r="C51" s="1" t="s">
        <v>134</v>
      </c>
      <c r="D51" s="1">
        <v>38308.199999999997</v>
      </c>
      <c r="E51" s="1">
        <v>0</v>
      </c>
      <c r="F51" s="1">
        <v>0</v>
      </c>
      <c r="G51" s="1">
        <v>307</v>
      </c>
      <c r="H51" s="1">
        <v>20171016</v>
      </c>
      <c r="I51" s="5">
        <f t="shared" si="7"/>
        <v>3064.6559999999999</v>
      </c>
      <c r="J51" s="5">
        <f t="shared" si="8"/>
        <v>0</v>
      </c>
      <c r="K51" s="5">
        <f t="shared" si="9"/>
        <v>0</v>
      </c>
      <c r="L51" s="5">
        <f t="shared" si="10"/>
        <v>3064.6559999999999</v>
      </c>
      <c r="M51" s="5">
        <f t="shared" si="11"/>
        <v>1791898.8317999993</v>
      </c>
      <c r="N51" s="5">
        <f>L148-M51</f>
        <v>32456.600400000112</v>
      </c>
    </row>
    <row r="52" spans="1:14" hidden="1">
      <c r="A52" s="1">
        <f t="shared" si="6"/>
        <v>50</v>
      </c>
      <c r="B52" s="1" t="s">
        <v>83</v>
      </c>
      <c r="C52" s="1" t="s">
        <v>135</v>
      </c>
      <c r="D52" s="1">
        <v>35889.9</v>
      </c>
      <c r="E52" s="1">
        <v>0</v>
      </c>
      <c r="F52" s="1">
        <v>0</v>
      </c>
      <c r="G52" s="1">
        <v>327</v>
      </c>
      <c r="H52" s="1">
        <v>20170407</v>
      </c>
      <c r="I52" s="5">
        <f t="shared" si="7"/>
        <v>2871.192</v>
      </c>
      <c r="J52" s="5">
        <f t="shared" si="8"/>
        <v>0</v>
      </c>
      <c r="K52" s="5">
        <f t="shared" si="9"/>
        <v>0</v>
      </c>
      <c r="L52" s="5">
        <f t="shared" si="10"/>
        <v>2871.192</v>
      </c>
      <c r="M52" s="5">
        <f t="shared" si="11"/>
        <v>1794770.0237999994</v>
      </c>
      <c r="N52" s="5">
        <f>L148-M52</f>
        <v>29585.408400000073</v>
      </c>
    </row>
    <row r="53" spans="1:14" hidden="1">
      <c r="A53" s="1">
        <f t="shared" si="6"/>
        <v>51</v>
      </c>
      <c r="B53" s="1" t="s">
        <v>83</v>
      </c>
      <c r="C53" s="1" t="s">
        <v>136</v>
      </c>
      <c r="D53" s="1">
        <v>32863.800000000003</v>
      </c>
      <c r="E53" s="1">
        <v>0</v>
      </c>
      <c r="F53" s="1">
        <v>0.1</v>
      </c>
      <c r="G53" s="1">
        <v>917</v>
      </c>
      <c r="H53" s="1">
        <v>20171013</v>
      </c>
      <c r="I53" s="5">
        <f t="shared" si="7"/>
        <v>2629.1040000000003</v>
      </c>
      <c r="J53" s="5">
        <f t="shared" si="8"/>
        <v>0</v>
      </c>
      <c r="K53" s="5">
        <f t="shared" si="9"/>
        <v>0.128</v>
      </c>
      <c r="L53" s="5">
        <f t="shared" si="10"/>
        <v>2629.2320000000004</v>
      </c>
      <c r="M53" s="5">
        <f t="shared" si="11"/>
        <v>1797399.2557999995</v>
      </c>
      <c r="N53" s="5">
        <f>L148-M53</f>
        <v>26956.176399999997</v>
      </c>
    </row>
    <row r="54" spans="1:14" hidden="1">
      <c r="A54" s="1">
        <f t="shared" si="6"/>
        <v>52</v>
      </c>
      <c r="B54" s="1" t="s">
        <v>83</v>
      </c>
      <c r="C54" s="1" t="s">
        <v>137</v>
      </c>
      <c r="D54" s="1">
        <v>30325.3</v>
      </c>
      <c r="E54" s="1">
        <v>0</v>
      </c>
      <c r="F54" s="1">
        <v>0</v>
      </c>
      <c r="G54" s="1">
        <v>201</v>
      </c>
      <c r="H54" s="1">
        <v>20170615</v>
      </c>
      <c r="I54" s="5">
        <f t="shared" si="7"/>
        <v>2426.0239999999999</v>
      </c>
      <c r="J54" s="5">
        <f t="shared" si="8"/>
        <v>0</v>
      </c>
      <c r="K54" s="5">
        <f t="shared" si="9"/>
        <v>0</v>
      </c>
      <c r="L54" s="5">
        <f t="shared" si="10"/>
        <v>2426.0239999999999</v>
      </c>
      <c r="M54" s="5">
        <f t="shared" si="11"/>
        <v>1799825.2797999994</v>
      </c>
      <c r="N54" s="5">
        <f>L148-M54</f>
        <v>24530.152400000021</v>
      </c>
    </row>
    <row r="55" spans="1:14" hidden="1">
      <c r="A55" s="1">
        <f t="shared" si="6"/>
        <v>53</v>
      </c>
      <c r="B55" s="1" t="s">
        <v>96</v>
      </c>
      <c r="C55" s="1" t="s">
        <v>138</v>
      </c>
      <c r="D55" s="1">
        <v>28279.4</v>
      </c>
      <c r="E55" s="1">
        <v>0</v>
      </c>
      <c r="F55" s="1">
        <v>0</v>
      </c>
      <c r="G55" s="1">
        <v>10</v>
      </c>
      <c r="H55" s="1">
        <v>20170721</v>
      </c>
      <c r="I55" s="5">
        <f t="shared" si="7"/>
        <v>2262.3520000000003</v>
      </c>
      <c r="J55" s="5">
        <f t="shared" si="8"/>
        <v>0</v>
      </c>
      <c r="K55" s="5">
        <f t="shared" si="9"/>
        <v>0</v>
      </c>
      <c r="L55" s="5">
        <f t="shared" si="10"/>
        <v>2262.3520000000003</v>
      </c>
      <c r="M55" s="5">
        <f t="shared" si="11"/>
        <v>1802087.6317999994</v>
      </c>
      <c r="N55" s="5">
        <f>L148-M55</f>
        <v>22267.800400000066</v>
      </c>
    </row>
    <row r="56" spans="1:14" hidden="1">
      <c r="A56" s="1">
        <f t="shared" si="6"/>
        <v>54</v>
      </c>
      <c r="B56" s="1" t="s">
        <v>83</v>
      </c>
      <c r="C56" s="1" t="s">
        <v>139</v>
      </c>
      <c r="D56" s="1">
        <v>1072.0999999999999</v>
      </c>
      <c r="E56" s="1">
        <v>0</v>
      </c>
      <c r="F56" s="1">
        <v>1603.3</v>
      </c>
      <c r="G56" s="1">
        <v>36</v>
      </c>
      <c r="H56" s="1">
        <v>20170812</v>
      </c>
      <c r="I56" s="5">
        <f t="shared" si="7"/>
        <v>85.768000000000001</v>
      </c>
      <c r="J56" s="5">
        <f t="shared" si="8"/>
        <v>0</v>
      </c>
      <c r="K56" s="5">
        <f t="shared" si="9"/>
        <v>2052.2240000000002</v>
      </c>
      <c r="L56" s="5">
        <f t="shared" si="10"/>
        <v>2137.9920000000002</v>
      </c>
      <c r="M56" s="5">
        <f t="shared" si="11"/>
        <v>1804225.6237999995</v>
      </c>
      <c r="N56" s="5">
        <f>L148-M56</f>
        <v>20129.80839999998</v>
      </c>
    </row>
    <row r="57" spans="1:14" hidden="1">
      <c r="A57" s="1">
        <f t="shared" si="6"/>
        <v>55</v>
      </c>
      <c r="B57" s="1" t="s">
        <v>96</v>
      </c>
      <c r="C57" s="1" t="s">
        <v>140</v>
      </c>
      <c r="D57" s="1">
        <v>25938.9</v>
      </c>
      <c r="E57" s="1">
        <v>0.1</v>
      </c>
      <c r="F57" s="1">
        <v>0</v>
      </c>
      <c r="G57" s="1">
        <v>57</v>
      </c>
      <c r="H57" s="1">
        <v>20170917</v>
      </c>
      <c r="I57" s="5">
        <f t="shared" si="7"/>
        <v>2075.1120000000001</v>
      </c>
      <c r="J57" s="5">
        <f t="shared" si="8"/>
        <v>2.2000000000000001E-3</v>
      </c>
      <c r="K57" s="5">
        <f t="shared" si="9"/>
        <v>0</v>
      </c>
      <c r="L57" s="5">
        <f t="shared" si="10"/>
        <v>2075.1142</v>
      </c>
      <c r="M57" s="5">
        <f t="shared" si="11"/>
        <v>1806300.7379999994</v>
      </c>
      <c r="N57" s="5">
        <f>L148-M57</f>
        <v>18054.694200000027</v>
      </c>
    </row>
    <row r="58" spans="1:14" hidden="1">
      <c r="A58" s="1">
        <f t="shared" si="6"/>
        <v>56</v>
      </c>
      <c r="B58" s="1" t="s">
        <v>83</v>
      </c>
      <c r="C58" s="1" t="s">
        <v>141</v>
      </c>
      <c r="D58" s="1">
        <v>0.1</v>
      </c>
      <c r="E58" s="1">
        <v>93996.800000000003</v>
      </c>
      <c r="F58" s="1">
        <v>0</v>
      </c>
      <c r="G58" s="1">
        <v>90</v>
      </c>
      <c r="H58" s="1">
        <v>20170518</v>
      </c>
      <c r="I58" s="5">
        <f t="shared" si="7"/>
        <v>8.0000000000000002E-3</v>
      </c>
      <c r="J58" s="5">
        <f t="shared" si="8"/>
        <v>2067.9295999999999</v>
      </c>
      <c r="K58" s="5">
        <f t="shared" si="9"/>
        <v>0</v>
      </c>
      <c r="L58" s="5">
        <f t="shared" si="10"/>
        <v>2067.9375999999997</v>
      </c>
      <c r="M58" s="5">
        <f t="shared" si="11"/>
        <v>1808368.6755999995</v>
      </c>
      <c r="N58" s="5">
        <f>L148-M58</f>
        <v>15986.756599999964</v>
      </c>
    </row>
    <row r="59" spans="1:14" hidden="1">
      <c r="A59" s="1">
        <f t="shared" si="6"/>
        <v>57</v>
      </c>
      <c r="B59" s="1" t="s">
        <v>96</v>
      </c>
      <c r="C59" s="1" t="s">
        <v>142</v>
      </c>
      <c r="D59" s="1">
        <v>25788.6</v>
      </c>
      <c r="E59" s="1">
        <v>0</v>
      </c>
      <c r="F59" s="1">
        <v>0</v>
      </c>
      <c r="G59" s="1">
        <v>109</v>
      </c>
      <c r="H59" s="1">
        <v>20170715</v>
      </c>
      <c r="I59" s="5">
        <f t="shared" si="7"/>
        <v>2063.0879999999997</v>
      </c>
      <c r="J59" s="5">
        <f t="shared" si="8"/>
        <v>0</v>
      </c>
      <c r="K59" s="5">
        <f t="shared" si="9"/>
        <v>0</v>
      </c>
      <c r="L59" s="5">
        <f t="shared" si="10"/>
        <v>2063.0879999999997</v>
      </c>
      <c r="M59" s="5">
        <f t="shared" si="11"/>
        <v>1810431.7635999995</v>
      </c>
      <c r="N59" s="5">
        <f>L148-M59</f>
        <v>13923.668599999975</v>
      </c>
    </row>
    <row r="60" spans="1:14" hidden="1">
      <c r="A60" s="1">
        <f t="shared" si="6"/>
        <v>58</v>
      </c>
      <c r="B60" s="1" t="s">
        <v>96</v>
      </c>
      <c r="C60" s="1" t="s">
        <v>143</v>
      </c>
      <c r="D60" s="1">
        <v>24703.8</v>
      </c>
      <c r="E60" s="1">
        <v>0</v>
      </c>
      <c r="F60" s="1">
        <v>0</v>
      </c>
      <c r="G60" s="1">
        <v>155</v>
      </c>
      <c r="H60" s="1">
        <v>20170727</v>
      </c>
      <c r="I60" s="5">
        <f t="shared" si="7"/>
        <v>1976.3040000000001</v>
      </c>
      <c r="J60" s="5">
        <f t="shared" si="8"/>
        <v>0</v>
      </c>
      <c r="K60" s="5">
        <f t="shared" si="9"/>
        <v>0</v>
      </c>
      <c r="L60" s="5">
        <f t="shared" si="10"/>
        <v>1976.3040000000001</v>
      </c>
      <c r="M60" s="5">
        <f t="shared" si="11"/>
        <v>1812408.0675999995</v>
      </c>
      <c r="N60" s="5">
        <f>L148-M60</f>
        <v>11947.364599999972</v>
      </c>
    </row>
    <row r="61" spans="1:14" hidden="1">
      <c r="A61" s="1">
        <f t="shared" si="6"/>
        <v>59</v>
      </c>
      <c r="B61" s="1" t="s">
        <v>83</v>
      </c>
      <c r="C61" s="1" t="s">
        <v>144</v>
      </c>
      <c r="D61" s="1">
        <v>20711</v>
      </c>
      <c r="E61" s="1">
        <v>0</v>
      </c>
      <c r="F61" s="1">
        <v>0</v>
      </c>
      <c r="G61" s="1">
        <v>88</v>
      </c>
      <c r="H61" s="1">
        <v>20170830</v>
      </c>
      <c r="I61" s="5">
        <f t="shared" si="7"/>
        <v>1656.88</v>
      </c>
      <c r="J61" s="5">
        <f t="shared" si="8"/>
        <v>0</v>
      </c>
      <c r="K61" s="5">
        <f t="shared" si="9"/>
        <v>0</v>
      </c>
      <c r="L61" s="5">
        <f t="shared" si="10"/>
        <v>1656.88</v>
      </c>
      <c r="M61" s="5">
        <f t="shared" si="11"/>
        <v>1814064.9475999994</v>
      </c>
      <c r="N61" s="5">
        <f>L148-M61</f>
        <v>10290.484600000083</v>
      </c>
    </row>
    <row r="62" spans="1:14" hidden="1">
      <c r="A62" s="1">
        <f t="shared" si="6"/>
        <v>60</v>
      </c>
      <c r="B62" s="1" t="s">
        <v>83</v>
      </c>
      <c r="C62" s="1" t="s">
        <v>145</v>
      </c>
      <c r="D62" s="1">
        <v>17468.5</v>
      </c>
      <c r="E62" s="1">
        <v>0</v>
      </c>
      <c r="F62" s="1">
        <v>0</v>
      </c>
      <c r="G62" s="1">
        <v>35</v>
      </c>
      <c r="H62" s="1">
        <v>20170908</v>
      </c>
      <c r="I62" s="5">
        <f t="shared" si="7"/>
        <v>1397.48</v>
      </c>
      <c r="J62" s="5">
        <f t="shared" si="8"/>
        <v>0</v>
      </c>
      <c r="K62" s="5">
        <f t="shared" si="9"/>
        <v>0</v>
      </c>
      <c r="L62" s="5">
        <f t="shared" si="10"/>
        <v>1397.48</v>
      </c>
      <c r="M62" s="5">
        <f t="shared" si="11"/>
        <v>1815462.4275999994</v>
      </c>
      <c r="N62" s="5">
        <f>L148-M62</f>
        <v>8893.0046000001021</v>
      </c>
    </row>
    <row r="63" spans="1:14" hidden="1">
      <c r="A63" s="1">
        <f t="shared" si="6"/>
        <v>61</v>
      </c>
      <c r="B63" s="1" t="s">
        <v>96</v>
      </c>
      <c r="C63" s="1" t="s">
        <v>146</v>
      </c>
      <c r="D63" s="1">
        <v>14004.1</v>
      </c>
      <c r="E63" s="1">
        <v>0</v>
      </c>
      <c r="F63" s="1">
        <v>0</v>
      </c>
      <c r="G63" s="1">
        <v>213</v>
      </c>
      <c r="H63" s="1">
        <v>20170409</v>
      </c>
      <c r="I63" s="5">
        <f t="shared" si="7"/>
        <v>1120.328</v>
      </c>
      <c r="J63" s="5">
        <f t="shared" si="8"/>
        <v>0</v>
      </c>
      <c r="K63" s="5">
        <f t="shared" si="9"/>
        <v>0</v>
      </c>
      <c r="L63" s="5">
        <f t="shared" si="10"/>
        <v>1120.328</v>
      </c>
      <c r="M63" s="5">
        <f t="shared" si="11"/>
        <v>1816582.7555999993</v>
      </c>
      <c r="N63" s="5">
        <f>L148-M63</f>
        <v>7772.6766000001226</v>
      </c>
    </row>
    <row r="64" spans="1:14" hidden="1">
      <c r="A64" s="1">
        <f t="shared" si="6"/>
        <v>62</v>
      </c>
      <c r="B64" s="1" t="s">
        <v>83</v>
      </c>
      <c r="C64" s="1" t="s">
        <v>147</v>
      </c>
      <c r="D64" s="1">
        <v>11242.3</v>
      </c>
      <c r="E64" s="1">
        <v>0</v>
      </c>
      <c r="F64" s="1">
        <v>0.1</v>
      </c>
      <c r="G64" s="1">
        <v>188</v>
      </c>
      <c r="H64" s="1">
        <v>20170511</v>
      </c>
      <c r="I64" s="5">
        <f t="shared" si="7"/>
        <v>899.38400000000001</v>
      </c>
      <c r="J64" s="5">
        <f t="shared" si="8"/>
        <v>0</v>
      </c>
      <c r="K64" s="5">
        <f t="shared" si="9"/>
        <v>0.128</v>
      </c>
      <c r="L64" s="5">
        <f t="shared" si="10"/>
        <v>899.51200000000006</v>
      </c>
      <c r="M64" s="5">
        <f t="shared" si="11"/>
        <v>1817482.2675999994</v>
      </c>
      <c r="N64" s="5">
        <f>L148-M64</f>
        <v>6873.1646000000183</v>
      </c>
    </row>
    <row r="65" spans="1:14" hidden="1">
      <c r="A65" s="1">
        <f t="shared" si="6"/>
        <v>63</v>
      </c>
      <c r="B65" s="1" t="s">
        <v>83</v>
      </c>
      <c r="C65" s="1" t="s">
        <v>148</v>
      </c>
      <c r="D65" s="1">
        <v>2196.4</v>
      </c>
      <c r="E65" s="1">
        <v>29280.2</v>
      </c>
      <c r="F65" s="1">
        <v>0</v>
      </c>
      <c r="G65" s="1">
        <v>115</v>
      </c>
      <c r="H65" s="1">
        <v>20170503</v>
      </c>
      <c r="I65" s="5">
        <f t="shared" si="7"/>
        <v>175.71200000000002</v>
      </c>
      <c r="J65" s="5">
        <f t="shared" si="8"/>
        <v>644.1644</v>
      </c>
      <c r="K65" s="5">
        <f t="shared" si="9"/>
        <v>0</v>
      </c>
      <c r="L65" s="5">
        <f t="shared" si="10"/>
        <v>819.87639999999999</v>
      </c>
      <c r="M65" s="5">
        <f t="shared" si="11"/>
        <v>1818302.1439999994</v>
      </c>
      <c r="N65" s="5">
        <f>L148-M65</f>
        <v>6053.2882000000682</v>
      </c>
    </row>
    <row r="66" spans="1:14" hidden="1">
      <c r="A66" s="1">
        <f t="shared" si="6"/>
        <v>64</v>
      </c>
      <c r="B66" s="1" t="s">
        <v>83</v>
      </c>
      <c r="C66" s="1" t="s">
        <v>149</v>
      </c>
      <c r="D66" s="1">
        <v>7280.8</v>
      </c>
      <c r="E66" s="1">
        <v>0</v>
      </c>
      <c r="F66" s="1">
        <v>0</v>
      </c>
      <c r="G66" s="1">
        <v>3207</v>
      </c>
      <c r="H66" s="1">
        <v>20170202</v>
      </c>
      <c r="I66" s="5">
        <f t="shared" si="7"/>
        <v>582.46400000000006</v>
      </c>
      <c r="J66" s="5">
        <f t="shared" si="8"/>
        <v>0</v>
      </c>
      <c r="K66" s="5">
        <f t="shared" si="9"/>
        <v>0</v>
      </c>
      <c r="L66" s="5">
        <f t="shared" si="10"/>
        <v>582.46400000000006</v>
      </c>
      <c r="M66" s="5">
        <f t="shared" si="11"/>
        <v>1818884.6079999993</v>
      </c>
      <c r="N66" s="5">
        <f>L148-M66</f>
        <v>5470.8242000001483</v>
      </c>
    </row>
    <row r="67" spans="1:14" hidden="1">
      <c r="A67" s="1">
        <f t="shared" ref="A67:A98" si="12">ROW()-2</f>
        <v>65</v>
      </c>
      <c r="B67" s="1" t="s">
        <v>83</v>
      </c>
      <c r="C67" s="1" t="s">
        <v>150</v>
      </c>
      <c r="D67" s="1">
        <v>6650.2</v>
      </c>
      <c r="E67" s="1">
        <v>0</v>
      </c>
      <c r="F67" s="1">
        <v>0</v>
      </c>
      <c r="G67" s="1">
        <v>88</v>
      </c>
      <c r="H67" s="1">
        <v>20170503</v>
      </c>
      <c r="I67" s="5">
        <f t="shared" ref="I67:I98" si="13">D67*0.08</f>
        <v>532.01599999999996</v>
      </c>
      <c r="J67" s="5">
        <f t="shared" ref="J67:J98" si="14">E67*0.022</f>
        <v>0</v>
      </c>
      <c r="K67" s="5">
        <f t="shared" ref="K67:K98" si="15">F67*1.28</f>
        <v>0</v>
      </c>
      <c r="L67" s="5">
        <f t="shared" ref="L67:L98" si="16">SUM(I67,J67,K67)</f>
        <v>532.01599999999996</v>
      </c>
      <c r="M67" s="5">
        <f t="shared" si="11"/>
        <v>1819416.6239999994</v>
      </c>
      <c r="N67" s="5">
        <f>L148-M67</f>
        <v>4938.8082000000868</v>
      </c>
    </row>
    <row r="68" spans="1:14" hidden="1">
      <c r="A68" s="1">
        <f t="shared" si="12"/>
        <v>66</v>
      </c>
      <c r="B68" s="1" t="s">
        <v>83</v>
      </c>
      <c r="C68" s="1" t="s">
        <v>151</v>
      </c>
      <c r="D68" s="1">
        <v>0.1</v>
      </c>
      <c r="E68" s="1">
        <v>22575.9</v>
      </c>
      <c r="F68" s="1">
        <v>0</v>
      </c>
      <c r="G68" s="1">
        <v>514</v>
      </c>
      <c r="H68" s="1">
        <v>20170228</v>
      </c>
      <c r="I68" s="5">
        <f t="shared" si="13"/>
        <v>8.0000000000000002E-3</v>
      </c>
      <c r="J68" s="5">
        <f t="shared" si="14"/>
        <v>496.66980000000001</v>
      </c>
      <c r="K68" s="5">
        <f t="shared" si="15"/>
        <v>0</v>
      </c>
      <c r="L68" s="5">
        <f t="shared" si="16"/>
        <v>496.67779999999999</v>
      </c>
      <c r="M68" s="5">
        <f t="shared" ref="M68:M99" si="17">L68+M67</f>
        <v>1819913.3017999993</v>
      </c>
      <c r="N68" s="5">
        <f>L148-M68</f>
        <v>4442.1304000001401</v>
      </c>
    </row>
    <row r="69" spans="1:14" hidden="1">
      <c r="A69" s="1">
        <f t="shared" si="12"/>
        <v>67</v>
      </c>
      <c r="B69" s="1" t="s">
        <v>83</v>
      </c>
      <c r="C69" s="1" t="s">
        <v>152</v>
      </c>
      <c r="D69" s="1">
        <v>0</v>
      </c>
      <c r="E69" s="1">
        <v>21112.6</v>
      </c>
      <c r="F69" s="1">
        <v>0</v>
      </c>
      <c r="G69" s="1">
        <v>14047</v>
      </c>
      <c r="H69" s="1">
        <v>20171016</v>
      </c>
      <c r="I69" s="5">
        <f t="shared" si="13"/>
        <v>0</v>
      </c>
      <c r="J69" s="5">
        <f t="shared" si="14"/>
        <v>464.47719999999993</v>
      </c>
      <c r="K69" s="5">
        <f t="shared" si="15"/>
        <v>0</v>
      </c>
      <c r="L69" s="5">
        <f t="shared" si="16"/>
        <v>464.47719999999993</v>
      </c>
      <c r="M69" s="5">
        <f t="shared" si="17"/>
        <v>1820377.7789999994</v>
      </c>
      <c r="N69" s="5">
        <f>L148-M69</f>
        <v>3977.6532000000589</v>
      </c>
    </row>
    <row r="70" spans="1:14" hidden="1">
      <c r="A70" s="1">
        <f t="shared" si="12"/>
        <v>68</v>
      </c>
      <c r="B70" s="1" t="s">
        <v>83</v>
      </c>
      <c r="C70" s="1" t="s">
        <v>153</v>
      </c>
      <c r="D70" s="1">
        <v>5573.2</v>
      </c>
      <c r="E70" s="1">
        <v>2.7</v>
      </c>
      <c r="F70" s="1">
        <v>0</v>
      </c>
      <c r="G70" s="1">
        <v>4188</v>
      </c>
      <c r="H70" s="1">
        <v>20171012</v>
      </c>
      <c r="I70" s="5">
        <f t="shared" si="13"/>
        <v>445.85599999999999</v>
      </c>
      <c r="J70" s="5">
        <f t="shared" si="14"/>
        <v>5.9400000000000001E-2</v>
      </c>
      <c r="K70" s="5">
        <f t="shared" si="15"/>
        <v>0</v>
      </c>
      <c r="L70" s="5">
        <f t="shared" si="16"/>
        <v>445.91539999999998</v>
      </c>
      <c r="M70" s="5">
        <f t="shared" si="17"/>
        <v>1820823.6943999995</v>
      </c>
      <c r="N70" s="5">
        <f>L148-M70</f>
        <v>3531.7378000000026</v>
      </c>
    </row>
    <row r="71" spans="1:14" hidden="1">
      <c r="A71" s="1">
        <f t="shared" si="12"/>
        <v>69</v>
      </c>
      <c r="B71" s="1" t="s">
        <v>83</v>
      </c>
      <c r="C71" s="1" t="s">
        <v>154</v>
      </c>
      <c r="D71" s="1">
        <v>0</v>
      </c>
      <c r="E71" s="1">
        <v>1.1000000000000001</v>
      </c>
      <c r="F71" s="1">
        <v>334.6</v>
      </c>
      <c r="G71" s="1">
        <v>902</v>
      </c>
      <c r="H71" s="1">
        <v>20171006</v>
      </c>
      <c r="I71" s="5">
        <f t="shared" si="13"/>
        <v>0</v>
      </c>
      <c r="J71" s="5">
        <f t="shared" si="14"/>
        <v>2.4199999999999999E-2</v>
      </c>
      <c r="K71" s="5">
        <f t="shared" si="15"/>
        <v>428.28800000000001</v>
      </c>
      <c r="L71" s="5">
        <f t="shared" si="16"/>
        <v>428.31220000000002</v>
      </c>
      <c r="M71" s="5">
        <f t="shared" si="17"/>
        <v>1821252.0065999995</v>
      </c>
      <c r="N71" s="5">
        <f>L148-M71</f>
        <v>3103.4255999999586</v>
      </c>
    </row>
    <row r="72" spans="1:14" hidden="1">
      <c r="A72" s="1">
        <f t="shared" si="12"/>
        <v>70</v>
      </c>
      <c r="B72" s="1" t="s">
        <v>83</v>
      </c>
      <c r="C72" s="1" t="s">
        <v>155</v>
      </c>
      <c r="D72" s="1">
        <v>0.1</v>
      </c>
      <c r="E72" s="1">
        <v>18830.099999999999</v>
      </c>
      <c r="F72" s="1">
        <v>0.1</v>
      </c>
      <c r="G72" s="1">
        <v>242</v>
      </c>
      <c r="H72" s="1">
        <v>20170727</v>
      </c>
      <c r="I72" s="5">
        <f t="shared" si="13"/>
        <v>8.0000000000000002E-3</v>
      </c>
      <c r="J72" s="5">
        <f t="shared" si="14"/>
        <v>414.26219999999995</v>
      </c>
      <c r="K72" s="5">
        <f t="shared" si="15"/>
        <v>0.128</v>
      </c>
      <c r="L72" s="5">
        <f t="shared" si="16"/>
        <v>414.39819999999992</v>
      </c>
      <c r="M72" s="5">
        <f t="shared" si="17"/>
        <v>1821666.4047999994</v>
      </c>
      <c r="N72" s="5">
        <f>L148-M72</f>
        <v>2689.0274000000209</v>
      </c>
    </row>
    <row r="73" spans="1:14" hidden="1">
      <c r="A73" s="1">
        <f t="shared" si="12"/>
        <v>71</v>
      </c>
      <c r="B73" s="1" t="s">
        <v>83</v>
      </c>
      <c r="C73" s="1" t="s">
        <v>156</v>
      </c>
      <c r="D73" s="1">
        <v>0</v>
      </c>
      <c r="E73" s="1">
        <v>0</v>
      </c>
      <c r="F73" s="1">
        <v>245.4</v>
      </c>
      <c r="G73" s="1">
        <v>35</v>
      </c>
      <c r="H73" s="1">
        <v>20170506</v>
      </c>
      <c r="I73" s="5">
        <f t="shared" si="13"/>
        <v>0</v>
      </c>
      <c r="J73" s="5">
        <f t="shared" si="14"/>
        <v>0</v>
      </c>
      <c r="K73" s="5">
        <f t="shared" si="15"/>
        <v>314.11200000000002</v>
      </c>
      <c r="L73" s="5">
        <f t="shared" si="16"/>
        <v>314.11200000000002</v>
      </c>
      <c r="M73" s="5">
        <f t="shared" si="17"/>
        <v>1821980.5167999994</v>
      </c>
      <c r="N73" s="5">
        <f>L148-M73</f>
        <v>2374.9154000000563</v>
      </c>
    </row>
    <row r="74" spans="1:14" hidden="1">
      <c r="A74" s="1">
        <f t="shared" si="12"/>
        <v>72</v>
      </c>
      <c r="B74" s="1" t="s">
        <v>96</v>
      </c>
      <c r="C74" s="1" t="s">
        <v>157</v>
      </c>
      <c r="D74" s="1">
        <v>0</v>
      </c>
      <c r="E74" s="1">
        <v>13195.2</v>
      </c>
      <c r="F74" s="1">
        <v>0</v>
      </c>
      <c r="G74" s="1">
        <v>1</v>
      </c>
      <c r="H74" s="1">
        <v>20161104</v>
      </c>
      <c r="I74" s="5">
        <f t="shared" si="13"/>
        <v>0</v>
      </c>
      <c r="J74" s="5">
        <f t="shared" si="14"/>
        <v>290.2944</v>
      </c>
      <c r="K74" s="5">
        <f t="shared" si="15"/>
        <v>0</v>
      </c>
      <c r="L74" s="5">
        <f t="shared" si="16"/>
        <v>290.2944</v>
      </c>
      <c r="M74" s="5">
        <f t="shared" si="17"/>
        <v>1822270.8111999994</v>
      </c>
      <c r="N74" s="5">
        <f>L148-M74</f>
        <v>2084.6210000000428</v>
      </c>
    </row>
    <row r="75" spans="1:14" hidden="1">
      <c r="A75" s="1">
        <f t="shared" si="12"/>
        <v>73</v>
      </c>
      <c r="B75" s="1" t="s">
        <v>96</v>
      </c>
      <c r="C75" s="1" t="s">
        <v>158</v>
      </c>
      <c r="D75" s="1">
        <v>3058.5</v>
      </c>
      <c r="E75" s="1">
        <v>0</v>
      </c>
      <c r="F75" s="1">
        <v>0</v>
      </c>
      <c r="G75" s="1">
        <v>120</v>
      </c>
      <c r="H75" s="1">
        <v>20170210</v>
      </c>
      <c r="I75" s="5">
        <f t="shared" si="13"/>
        <v>244.68</v>
      </c>
      <c r="J75" s="5">
        <f t="shared" si="14"/>
        <v>0</v>
      </c>
      <c r="K75" s="5">
        <f t="shared" si="15"/>
        <v>0</v>
      </c>
      <c r="L75" s="5">
        <f t="shared" si="16"/>
        <v>244.68</v>
      </c>
      <c r="M75" s="5">
        <f t="shared" si="17"/>
        <v>1822515.4911999993</v>
      </c>
      <c r="N75" s="5">
        <f>L148-M75</f>
        <v>1839.941000000108</v>
      </c>
    </row>
    <row r="76" spans="1:14" hidden="1">
      <c r="A76" s="1">
        <f t="shared" si="12"/>
        <v>74</v>
      </c>
      <c r="B76" s="1" t="s">
        <v>83</v>
      </c>
      <c r="C76" s="1" t="s">
        <v>159</v>
      </c>
      <c r="D76" s="1">
        <v>0</v>
      </c>
      <c r="E76" s="1">
        <v>7869</v>
      </c>
      <c r="F76" s="1">
        <v>0</v>
      </c>
      <c r="G76" s="1">
        <v>927</v>
      </c>
      <c r="H76" s="1">
        <v>20170415</v>
      </c>
      <c r="I76" s="5">
        <f t="shared" si="13"/>
        <v>0</v>
      </c>
      <c r="J76" s="5">
        <f t="shared" si="14"/>
        <v>173.11799999999999</v>
      </c>
      <c r="K76" s="5">
        <f t="shared" si="15"/>
        <v>0</v>
      </c>
      <c r="L76" s="5">
        <f t="shared" si="16"/>
        <v>173.11799999999999</v>
      </c>
      <c r="M76" s="5">
        <f t="shared" si="17"/>
        <v>1822688.6091999994</v>
      </c>
      <c r="N76" s="5">
        <f>L148-M76</f>
        <v>1666.8230000000913</v>
      </c>
    </row>
    <row r="77" spans="1:14" hidden="1">
      <c r="A77" s="1">
        <f t="shared" si="12"/>
        <v>75</v>
      </c>
      <c r="B77" s="1" t="s">
        <v>83</v>
      </c>
      <c r="C77" s="1" t="s">
        <v>160</v>
      </c>
      <c r="D77" s="1">
        <v>561.29999999999995</v>
      </c>
      <c r="E77" s="1">
        <v>4415.3999999999996</v>
      </c>
      <c r="F77" s="1">
        <v>0</v>
      </c>
      <c r="G77" s="1">
        <v>799</v>
      </c>
      <c r="H77" s="1">
        <v>20170912</v>
      </c>
      <c r="I77" s="5">
        <f t="shared" si="13"/>
        <v>44.903999999999996</v>
      </c>
      <c r="J77" s="5">
        <f t="shared" si="14"/>
        <v>97.138799999999989</v>
      </c>
      <c r="K77" s="5">
        <f t="shared" si="15"/>
        <v>0</v>
      </c>
      <c r="L77" s="5">
        <f t="shared" si="16"/>
        <v>142.0428</v>
      </c>
      <c r="M77" s="5">
        <f t="shared" si="17"/>
        <v>1822830.6519999993</v>
      </c>
      <c r="N77" s="5">
        <f>L148-M77</f>
        <v>1524.7802000001539</v>
      </c>
    </row>
    <row r="78" spans="1:14" hidden="1">
      <c r="A78" s="1">
        <f t="shared" si="12"/>
        <v>76</v>
      </c>
      <c r="B78" s="1" t="s">
        <v>83</v>
      </c>
      <c r="C78" s="1" t="s">
        <v>161</v>
      </c>
      <c r="D78" s="1">
        <v>1611.9</v>
      </c>
      <c r="E78" s="1">
        <v>0</v>
      </c>
      <c r="F78" s="1">
        <v>0</v>
      </c>
      <c r="G78" s="1">
        <v>244</v>
      </c>
      <c r="H78" s="1">
        <v>20170406</v>
      </c>
      <c r="I78" s="5">
        <f t="shared" si="13"/>
        <v>128.952</v>
      </c>
      <c r="J78" s="5">
        <f t="shared" si="14"/>
        <v>0</v>
      </c>
      <c r="K78" s="5">
        <f t="shared" si="15"/>
        <v>0</v>
      </c>
      <c r="L78" s="5">
        <f t="shared" si="16"/>
        <v>128.952</v>
      </c>
      <c r="M78" s="5">
        <f t="shared" si="17"/>
        <v>1822959.6039999994</v>
      </c>
      <c r="N78" s="5">
        <f>L148-M78</f>
        <v>1395.8282000001054</v>
      </c>
    </row>
    <row r="79" spans="1:14" hidden="1">
      <c r="A79" s="1">
        <f t="shared" si="12"/>
        <v>77</v>
      </c>
      <c r="B79" s="1" t="s">
        <v>83</v>
      </c>
      <c r="C79" s="1" t="s">
        <v>162</v>
      </c>
      <c r="D79" s="1">
        <v>1551.8</v>
      </c>
      <c r="E79" s="1">
        <v>0</v>
      </c>
      <c r="F79" s="1">
        <v>0</v>
      </c>
      <c r="G79" s="1">
        <v>76</v>
      </c>
      <c r="H79" s="1">
        <v>20161109</v>
      </c>
      <c r="I79" s="5">
        <f t="shared" si="13"/>
        <v>124.14400000000001</v>
      </c>
      <c r="J79" s="5">
        <f t="shared" si="14"/>
        <v>0</v>
      </c>
      <c r="K79" s="5">
        <f t="shared" si="15"/>
        <v>0</v>
      </c>
      <c r="L79" s="5">
        <f t="shared" si="16"/>
        <v>124.14400000000001</v>
      </c>
      <c r="M79" s="5">
        <f t="shared" si="17"/>
        <v>1823083.7479999994</v>
      </c>
      <c r="N79" s="5">
        <f>L148-M79</f>
        <v>1271.6842000000179</v>
      </c>
    </row>
    <row r="80" spans="1:14" hidden="1">
      <c r="A80" s="1">
        <f t="shared" si="12"/>
        <v>78</v>
      </c>
      <c r="B80" s="1" t="s">
        <v>83</v>
      </c>
      <c r="C80" s="1" t="s">
        <v>163</v>
      </c>
      <c r="D80" s="1">
        <v>0.1</v>
      </c>
      <c r="E80" s="1">
        <v>4938.1000000000004</v>
      </c>
      <c r="F80" s="1">
        <v>0</v>
      </c>
      <c r="G80" s="1">
        <v>309</v>
      </c>
      <c r="H80" s="1">
        <v>20171016</v>
      </c>
      <c r="I80" s="5">
        <f t="shared" si="13"/>
        <v>8.0000000000000002E-3</v>
      </c>
      <c r="J80" s="5">
        <f t="shared" si="14"/>
        <v>108.6382</v>
      </c>
      <c r="K80" s="5">
        <f t="shared" si="15"/>
        <v>0</v>
      </c>
      <c r="L80" s="5">
        <f t="shared" si="16"/>
        <v>108.64619999999999</v>
      </c>
      <c r="M80" s="5">
        <f t="shared" si="17"/>
        <v>1823192.3941999995</v>
      </c>
      <c r="N80" s="5">
        <f>L148-M80</f>
        <v>1163.0379999999423</v>
      </c>
    </row>
    <row r="81" spans="1:14" hidden="1">
      <c r="A81" s="1">
        <f t="shared" si="12"/>
        <v>79</v>
      </c>
      <c r="B81" s="1" t="s">
        <v>83</v>
      </c>
      <c r="C81" s="1" t="s">
        <v>164</v>
      </c>
      <c r="D81" s="1">
        <v>1311.9</v>
      </c>
      <c r="E81" s="1">
        <v>0</v>
      </c>
      <c r="F81" s="1">
        <v>0</v>
      </c>
      <c r="G81" s="1">
        <v>859</v>
      </c>
      <c r="H81" s="1">
        <v>20171013</v>
      </c>
      <c r="I81" s="5">
        <f t="shared" si="13"/>
        <v>104.95200000000001</v>
      </c>
      <c r="J81" s="5">
        <f t="shared" si="14"/>
        <v>0</v>
      </c>
      <c r="K81" s="5">
        <f t="shared" si="15"/>
        <v>0</v>
      </c>
      <c r="L81" s="5">
        <f t="shared" si="16"/>
        <v>104.95200000000001</v>
      </c>
      <c r="M81" s="5">
        <f t="shared" si="17"/>
        <v>1823297.3461999996</v>
      </c>
      <c r="N81" s="5">
        <f>L148-M81</f>
        <v>1058.0859999998938</v>
      </c>
    </row>
    <row r="82" spans="1:14" hidden="1">
      <c r="A82" s="1">
        <f t="shared" si="12"/>
        <v>80</v>
      </c>
      <c r="B82" s="1" t="s">
        <v>83</v>
      </c>
      <c r="C82" s="1" t="s">
        <v>165</v>
      </c>
      <c r="D82" s="1">
        <v>1212.3</v>
      </c>
      <c r="E82" s="1">
        <v>0</v>
      </c>
      <c r="F82" s="1">
        <v>0</v>
      </c>
      <c r="G82" s="1">
        <v>45</v>
      </c>
      <c r="H82" s="1">
        <v>20170524</v>
      </c>
      <c r="I82" s="5">
        <f t="shared" si="13"/>
        <v>96.983999999999995</v>
      </c>
      <c r="J82" s="5">
        <f t="shared" si="14"/>
        <v>0</v>
      </c>
      <c r="K82" s="5">
        <f t="shared" si="15"/>
        <v>0</v>
      </c>
      <c r="L82" s="5">
        <f t="shared" si="16"/>
        <v>96.983999999999995</v>
      </c>
      <c r="M82" s="5">
        <f t="shared" si="17"/>
        <v>1823394.3301999995</v>
      </c>
      <c r="N82" s="5">
        <f>L148-M82</f>
        <v>961.1019999999553</v>
      </c>
    </row>
    <row r="83" spans="1:14" hidden="1">
      <c r="A83" s="1">
        <f t="shared" si="12"/>
        <v>81</v>
      </c>
      <c r="B83" s="1" t="s">
        <v>83</v>
      </c>
      <c r="C83" s="1" t="s">
        <v>166</v>
      </c>
      <c r="D83" s="1">
        <v>0</v>
      </c>
      <c r="E83" s="1">
        <v>4212.3</v>
      </c>
      <c r="F83" s="1">
        <v>0</v>
      </c>
      <c r="G83" s="1">
        <v>73</v>
      </c>
      <c r="H83" s="1">
        <v>20170706</v>
      </c>
      <c r="I83" s="5">
        <f t="shared" si="13"/>
        <v>0</v>
      </c>
      <c r="J83" s="5">
        <f t="shared" si="14"/>
        <v>92.670599999999993</v>
      </c>
      <c r="K83" s="5">
        <f t="shared" si="15"/>
        <v>0</v>
      </c>
      <c r="L83" s="5">
        <f t="shared" si="16"/>
        <v>92.670599999999993</v>
      </c>
      <c r="M83" s="5">
        <f t="shared" si="17"/>
        <v>1823487.0007999996</v>
      </c>
      <c r="N83" s="5">
        <f>L148-M83</f>
        <v>868.43139999988489</v>
      </c>
    </row>
    <row r="84" spans="1:14" hidden="1">
      <c r="A84" s="1">
        <f t="shared" si="12"/>
        <v>82</v>
      </c>
      <c r="B84" s="1" t="s">
        <v>83</v>
      </c>
      <c r="C84" s="1" t="s">
        <v>167</v>
      </c>
      <c r="D84" s="1">
        <v>0</v>
      </c>
      <c r="E84" s="1">
        <v>3957.1</v>
      </c>
      <c r="F84" s="1">
        <v>0</v>
      </c>
      <c r="G84" s="1">
        <v>134</v>
      </c>
      <c r="H84" s="1">
        <v>20170619</v>
      </c>
      <c r="I84" s="5">
        <f t="shared" si="13"/>
        <v>0</v>
      </c>
      <c r="J84" s="5">
        <f t="shared" si="14"/>
        <v>87.05619999999999</v>
      </c>
      <c r="K84" s="5">
        <f t="shared" si="15"/>
        <v>0</v>
      </c>
      <c r="L84" s="5">
        <f t="shared" si="16"/>
        <v>87.05619999999999</v>
      </c>
      <c r="M84" s="5">
        <f t="shared" si="17"/>
        <v>1823574.0569999996</v>
      </c>
      <c r="N84" s="5">
        <f>L148-M84</f>
        <v>781.37519999989308</v>
      </c>
    </row>
    <row r="85" spans="1:14" hidden="1">
      <c r="A85" s="1">
        <f t="shared" si="12"/>
        <v>83</v>
      </c>
      <c r="B85" s="1" t="s">
        <v>83</v>
      </c>
      <c r="C85" s="1" t="s">
        <v>168</v>
      </c>
      <c r="D85" s="1">
        <v>939.8</v>
      </c>
      <c r="E85" s="1">
        <v>0</v>
      </c>
      <c r="F85" s="1">
        <v>0</v>
      </c>
      <c r="G85" s="1">
        <v>83</v>
      </c>
      <c r="H85" s="1">
        <v>20170604</v>
      </c>
      <c r="I85" s="5">
        <f t="shared" si="13"/>
        <v>75.183999999999997</v>
      </c>
      <c r="J85" s="5">
        <f t="shared" si="14"/>
        <v>0</v>
      </c>
      <c r="K85" s="5">
        <f t="shared" si="15"/>
        <v>0</v>
      </c>
      <c r="L85" s="5">
        <f t="shared" si="16"/>
        <v>75.183999999999997</v>
      </c>
      <c r="M85" s="5">
        <f t="shared" si="17"/>
        <v>1823649.2409999995</v>
      </c>
      <c r="N85" s="5">
        <f>L148-M85</f>
        <v>706.19120000000112</v>
      </c>
    </row>
    <row r="86" spans="1:14" hidden="1">
      <c r="A86" s="1">
        <f t="shared" si="12"/>
        <v>84</v>
      </c>
      <c r="B86" s="1" t="s">
        <v>83</v>
      </c>
      <c r="C86" s="1" t="s">
        <v>169</v>
      </c>
      <c r="D86" s="1">
        <v>866.5</v>
      </c>
      <c r="E86" s="1">
        <v>0</v>
      </c>
      <c r="F86" s="1">
        <v>0</v>
      </c>
      <c r="G86" s="1">
        <v>872</v>
      </c>
      <c r="H86" s="1">
        <v>20170527</v>
      </c>
      <c r="I86" s="5">
        <f t="shared" si="13"/>
        <v>69.320000000000007</v>
      </c>
      <c r="J86" s="5">
        <f t="shared" si="14"/>
        <v>0</v>
      </c>
      <c r="K86" s="5">
        <f t="shared" si="15"/>
        <v>0</v>
      </c>
      <c r="L86" s="5">
        <f t="shared" si="16"/>
        <v>69.320000000000007</v>
      </c>
      <c r="M86" s="5">
        <f t="shared" si="17"/>
        <v>1823718.5609999995</v>
      </c>
      <c r="N86" s="5">
        <f>L148-M86</f>
        <v>636.87119999993593</v>
      </c>
    </row>
    <row r="87" spans="1:14" hidden="1">
      <c r="A87" s="1">
        <f t="shared" si="12"/>
        <v>85</v>
      </c>
      <c r="B87" s="1" t="s">
        <v>83</v>
      </c>
      <c r="C87" s="1" t="s">
        <v>170</v>
      </c>
      <c r="D87" s="1">
        <v>827.6</v>
      </c>
      <c r="E87" s="1">
        <v>0</v>
      </c>
      <c r="F87" s="1">
        <v>0</v>
      </c>
      <c r="G87" s="1">
        <v>15</v>
      </c>
      <c r="H87" s="1">
        <v>20170926</v>
      </c>
      <c r="I87" s="5">
        <f t="shared" si="13"/>
        <v>66.207999999999998</v>
      </c>
      <c r="J87" s="5">
        <f t="shared" si="14"/>
        <v>0</v>
      </c>
      <c r="K87" s="5">
        <f t="shared" si="15"/>
        <v>0</v>
      </c>
      <c r="L87" s="5">
        <f t="shared" si="16"/>
        <v>66.207999999999998</v>
      </c>
      <c r="M87" s="5">
        <f t="shared" si="17"/>
        <v>1823784.7689999996</v>
      </c>
      <c r="N87" s="5">
        <f>L148-M87</f>
        <v>570.66319999983534</v>
      </c>
    </row>
    <row r="88" spans="1:14" hidden="1">
      <c r="A88" s="1">
        <f t="shared" si="12"/>
        <v>86</v>
      </c>
      <c r="B88" s="1" t="s">
        <v>96</v>
      </c>
      <c r="C88" s="1" t="s">
        <v>171</v>
      </c>
      <c r="D88" s="1">
        <v>819.7</v>
      </c>
      <c r="E88" s="1">
        <v>0</v>
      </c>
      <c r="F88" s="1">
        <v>0</v>
      </c>
      <c r="G88" s="1">
        <v>55</v>
      </c>
      <c r="H88" s="1">
        <v>20170930</v>
      </c>
      <c r="I88" s="5">
        <f t="shared" si="13"/>
        <v>65.576000000000008</v>
      </c>
      <c r="J88" s="5">
        <f t="shared" si="14"/>
        <v>0</v>
      </c>
      <c r="K88" s="5">
        <f t="shared" si="15"/>
        <v>0</v>
      </c>
      <c r="L88" s="5">
        <f t="shared" si="16"/>
        <v>65.576000000000008</v>
      </c>
      <c r="M88" s="5">
        <f t="shared" si="17"/>
        <v>1823850.3449999995</v>
      </c>
      <c r="N88" s="5">
        <f>L148-M88</f>
        <v>505.08719999995083</v>
      </c>
    </row>
    <row r="89" spans="1:14" hidden="1">
      <c r="A89" s="1">
        <f t="shared" si="12"/>
        <v>87</v>
      </c>
      <c r="B89" s="1" t="s">
        <v>83</v>
      </c>
      <c r="C89" s="1" t="s">
        <v>172</v>
      </c>
      <c r="D89" s="1">
        <v>797.9</v>
      </c>
      <c r="E89" s="1">
        <v>2.9</v>
      </c>
      <c r="F89" s="1">
        <v>0</v>
      </c>
      <c r="G89" s="1">
        <v>185</v>
      </c>
      <c r="H89" s="1">
        <v>20170620</v>
      </c>
      <c r="I89" s="5">
        <f t="shared" si="13"/>
        <v>63.832000000000001</v>
      </c>
      <c r="J89" s="5">
        <f t="shared" si="14"/>
        <v>6.3799999999999996E-2</v>
      </c>
      <c r="K89" s="5">
        <f t="shared" si="15"/>
        <v>0</v>
      </c>
      <c r="L89" s="5">
        <f t="shared" si="16"/>
        <v>63.895800000000001</v>
      </c>
      <c r="M89" s="5">
        <f t="shared" si="17"/>
        <v>1823914.2407999996</v>
      </c>
      <c r="N89" s="5">
        <f>L148-M89</f>
        <v>441.1913999998942</v>
      </c>
    </row>
    <row r="90" spans="1:14" hidden="1">
      <c r="A90" s="1">
        <f t="shared" si="12"/>
        <v>88</v>
      </c>
      <c r="B90" s="1" t="s">
        <v>83</v>
      </c>
      <c r="C90" s="1" t="s">
        <v>173</v>
      </c>
      <c r="D90" s="1">
        <v>0.1</v>
      </c>
      <c r="E90" s="1">
        <v>2745.8</v>
      </c>
      <c r="F90" s="1">
        <v>0</v>
      </c>
      <c r="G90" s="1">
        <v>42</v>
      </c>
      <c r="H90" s="1">
        <v>20170628</v>
      </c>
      <c r="I90" s="5">
        <f t="shared" si="13"/>
        <v>8.0000000000000002E-3</v>
      </c>
      <c r="J90" s="5">
        <f t="shared" si="14"/>
        <v>60.407600000000002</v>
      </c>
      <c r="K90" s="5">
        <f t="shared" si="15"/>
        <v>0</v>
      </c>
      <c r="L90" s="5">
        <f t="shared" si="16"/>
        <v>60.415600000000005</v>
      </c>
      <c r="M90" s="5">
        <f t="shared" si="17"/>
        <v>1823974.6563999995</v>
      </c>
      <c r="N90" s="5">
        <f>L148-M90</f>
        <v>380.77579999994487</v>
      </c>
    </row>
    <row r="91" spans="1:14" hidden="1">
      <c r="A91" s="1">
        <f t="shared" si="12"/>
        <v>89</v>
      </c>
      <c r="B91" s="1" t="s">
        <v>83</v>
      </c>
      <c r="C91" s="1" t="s">
        <v>174</v>
      </c>
      <c r="D91" s="1">
        <v>753.2</v>
      </c>
      <c r="E91" s="1">
        <v>0</v>
      </c>
      <c r="F91" s="1">
        <v>0</v>
      </c>
      <c r="G91" s="1">
        <v>121</v>
      </c>
      <c r="H91" s="1">
        <v>20170627</v>
      </c>
      <c r="I91" s="5">
        <f t="shared" si="13"/>
        <v>60.256000000000007</v>
      </c>
      <c r="J91" s="5">
        <f t="shared" si="14"/>
        <v>0</v>
      </c>
      <c r="K91" s="5">
        <f t="shared" si="15"/>
        <v>0</v>
      </c>
      <c r="L91" s="5">
        <f t="shared" si="16"/>
        <v>60.256000000000007</v>
      </c>
      <c r="M91" s="5">
        <f t="shared" si="17"/>
        <v>1824034.9123999996</v>
      </c>
      <c r="N91" s="5">
        <f>L148-M91</f>
        <v>320.51979999989271</v>
      </c>
    </row>
    <row r="92" spans="1:14" hidden="1">
      <c r="A92" s="1">
        <f t="shared" si="12"/>
        <v>90</v>
      </c>
      <c r="B92" s="1" t="s">
        <v>83</v>
      </c>
      <c r="C92" s="1" t="s">
        <v>175</v>
      </c>
      <c r="D92" s="1">
        <v>27.3</v>
      </c>
      <c r="E92" s="1">
        <v>2513.1999999999998</v>
      </c>
      <c r="F92" s="1">
        <v>0</v>
      </c>
      <c r="G92" s="1">
        <v>4176</v>
      </c>
      <c r="H92" s="1">
        <v>20171016</v>
      </c>
      <c r="I92" s="5">
        <f t="shared" si="13"/>
        <v>2.1840000000000002</v>
      </c>
      <c r="J92" s="5">
        <f t="shared" si="14"/>
        <v>55.290399999999991</v>
      </c>
      <c r="K92" s="5">
        <f t="shared" si="15"/>
        <v>0</v>
      </c>
      <c r="L92" s="5">
        <f t="shared" si="16"/>
        <v>57.474399999999989</v>
      </c>
      <c r="M92" s="5">
        <f t="shared" si="17"/>
        <v>1824092.3867999995</v>
      </c>
      <c r="N92" s="5">
        <f>L148-M92</f>
        <v>263.04539999994449</v>
      </c>
    </row>
    <row r="93" spans="1:14" hidden="1">
      <c r="A93" s="1">
        <f t="shared" si="12"/>
        <v>91</v>
      </c>
      <c r="B93" s="1" t="s">
        <v>83</v>
      </c>
      <c r="C93" s="1" t="s">
        <v>176</v>
      </c>
      <c r="D93" s="1">
        <v>0</v>
      </c>
      <c r="E93" s="1">
        <v>2120.4</v>
      </c>
      <c r="F93" s="1">
        <v>0</v>
      </c>
      <c r="G93" s="1">
        <v>168</v>
      </c>
      <c r="H93" s="1">
        <v>20170804</v>
      </c>
      <c r="I93" s="5">
        <f t="shared" si="13"/>
        <v>0</v>
      </c>
      <c r="J93" s="5">
        <f t="shared" si="14"/>
        <v>46.648800000000001</v>
      </c>
      <c r="K93" s="5">
        <f t="shared" si="15"/>
        <v>0</v>
      </c>
      <c r="L93" s="5">
        <f t="shared" si="16"/>
        <v>46.648800000000001</v>
      </c>
      <c r="M93" s="5">
        <f t="shared" si="17"/>
        <v>1824139.0355999996</v>
      </c>
      <c r="N93" s="5">
        <f>L148-M93</f>
        <v>216.39659999986179</v>
      </c>
    </row>
    <row r="94" spans="1:14" hidden="1">
      <c r="A94" s="1">
        <f t="shared" si="12"/>
        <v>92</v>
      </c>
      <c r="B94" s="1" t="s">
        <v>83</v>
      </c>
      <c r="C94" s="1" t="s">
        <v>177</v>
      </c>
      <c r="D94" s="1">
        <v>100.3</v>
      </c>
      <c r="E94" s="1">
        <v>1622</v>
      </c>
      <c r="F94" s="1">
        <v>0</v>
      </c>
      <c r="G94" s="1">
        <v>559</v>
      </c>
      <c r="H94" s="1">
        <v>20170630</v>
      </c>
      <c r="I94" s="5">
        <f t="shared" si="13"/>
        <v>8.0239999999999991</v>
      </c>
      <c r="J94" s="5">
        <f t="shared" si="14"/>
        <v>35.683999999999997</v>
      </c>
      <c r="K94" s="5">
        <f t="shared" si="15"/>
        <v>0</v>
      </c>
      <c r="L94" s="5">
        <f t="shared" si="16"/>
        <v>43.707999999999998</v>
      </c>
      <c r="M94" s="5">
        <f t="shared" si="17"/>
        <v>1824182.7435999997</v>
      </c>
      <c r="N94" s="5">
        <f>L148-M94</f>
        <v>172.68859999976121</v>
      </c>
    </row>
    <row r="95" spans="1:14" hidden="1">
      <c r="A95" s="1">
        <f t="shared" si="12"/>
        <v>93</v>
      </c>
      <c r="B95" s="1" t="s">
        <v>83</v>
      </c>
      <c r="C95" s="1" t="s">
        <v>178</v>
      </c>
      <c r="D95" s="1">
        <v>502.7</v>
      </c>
      <c r="E95" s="1">
        <v>0</v>
      </c>
      <c r="F95" s="1">
        <v>0</v>
      </c>
      <c r="G95" s="1">
        <v>32</v>
      </c>
      <c r="H95" s="1">
        <v>20170508</v>
      </c>
      <c r="I95" s="5">
        <f t="shared" si="13"/>
        <v>40.216000000000001</v>
      </c>
      <c r="J95" s="5">
        <f t="shared" si="14"/>
        <v>0</v>
      </c>
      <c r="K95" s="5">
        <f t="shared" si="15"/>
        <v>0</v>
      </c>
      <c r="L95" s="5">
        <f t="shared" si="16"/>
        <v>40.216000000000001</v>
      </c>
      <c r="M95" s="5">
        <f t="shared" si="17"/>
        <v>1824222.9595999997</v>
      </c>
      <c r="N95" s="5">
        <f>L148-M95</f>
        <v>132.47259999974631</v>
      </c>
    </row>
    <row r="96" spans="1:14" hidden="1">
      <c r="A96" s="1">
        <f t="shared" si="12"/>
        <v>94</v>
      </c>
      <c r="B96" s="1" t="s">
        <v>83</v>
      </c>
      <c r="C96" s="1" t="s">
        <v>179</v>
      </c>
      <c r="D96" s="1">
        <v>292.8</v>
      </c>
      <c r="E96" s="1">
        <v>0</v>
      </c>
      <c r="F96" s="1">
        <v>0.1</v>
      </c>
      <c r="G96" s="1">
        <v>529</v>
      </c>
      <c r="H96" s="1">
        <v>20170509</v>
      </c>
      <c r="I96" s="5">
        <f t="shared" si="13"/>
        <v>23.424000000000003</v>
      </c>
      <c r="J96" s="5">
        <f t="shared" si="14"/>
        <v>0</v>
      </c>
      <c r="K96" s="5">
        <f t="shared" si="15"/>
        <v>0.128</v>
      </c>
      <c r="L96" s="5">
        <f t="shared" si="16"/>
        <v>23.552000000000003</v>
      </c>
      <c r="M96" s="5">
        <f t="shared" si="17"/>
        <v>1824246.5115999996</v>
      </c>
      <c r="N96" s="5">
        <f>L148-M96</f>
        <v>108.92059999983758</v>
      </c>
    </row>
    <row r="97" spans="1:14" hidden="1">
      <c r="A97" s="1">
        <f t="shared" si="12"/>
        <v>95</v>
      </c>
      <c r="B97" s="1" t="s">
        <v>83</v>
      </c>
      <c r="C97" s="1" t="s">
        <v>180</v>
      </c>
      <c r="D97" s="1">
        <v>270.8</v>
      </c>
      <c r="E97" s="1">
        <v>0</v>
      </c>
      <c r="F97" s="1">
        <v>0</v>
      </c>
      <c r="G97" s="1">
        <v>149</v>
      </c>
      <c r="H97" s="1">
        <v>20170801</v>
      </c>
      <c r="I97" s="5">
        <f t="shared" si="13"/>
        <v>21.664000000000001</v>
      </c>
      <c r="J97" s="5">
        <f t="shared" si="14"/>
        <v>0</v>
      </c>
      <c r="K97" s="5">
        <f t="shared" si="15"/>
        <v>0</v>
      </c>
      <c r="L97" s="5">
        <f t="shared" si="16"/>
        <v>21.664000000000001</v>
      </c>
      <c r="M97" s="5">
        <f t="shared" si="17"/>
        <v>1824268.1755999997</v>
      </c>
      <c r="N97" s="5">
        <f>L148-M97</f>
        <v>87.256599999731407</v>
      </c>
    </row>
    <row r="98" spans="1:14" hidden="1">
      <c r="A98" s="1">
        <f t="shared" si="12"/>
        <v>96</v>
      </c>
      <c r="B98" s="1" t="s">
        <v>83</v>
      </c>
      <c r="C98" s="1" t="s">
        <v>181</v>
      </c>
      <c r="D98" s="1">
        <v>256.10000000000002</v>
      </c>
      <c r="E98" s="1">
        <v>29.8</v>
      </c>
      <c r="F98" s="1">
        <v>0</v>
      </c>
      <c r="G98" s="1">
        <v>89</v>
      </c>
      <c r="H98" s="1">
        <v>20170830</v>
      </c>
      <c r="I98" s="5">
        <f t="shared" si="13"/>
        <v>20.488000000000003</v>
      </c>
      <c r="J98" s="5">
        <f t="shared" si="14"/>
        <v>0.65559999999999996</v>
      </c>
      <c r="K98" s="5">
        <f t="shared" si="15"/>
        <v>0</v>
      </c>
      <c r="L98" s="5">
        <f t="shared" si="16"/>
        <v>21.143600000000003</v>
      </c>
      <c r="M98" s="5">
        <f t="shared" si="17"/>
        <v>1824289.3191999998</v>
      </c>
      <c r="N98" s="5">
        <f>L148-M98</f>
        <v>66.112999999662861</v>
      </c>
    </row>
    <row r="99" spans="1:14" hidden="1">
      <c r="A99" s="1">
        <f t="shared" ref="A99:A130" si="18">ROW()-2</f>
        <v>97</v>
      </c>
      <c r="B99" s="1" t="s">
        <v>83</v>
      </c>
      <c r="C99" s="1" t="s">
        <v>182</v>
      </c>
      <c r="D99" s="1">
        <v>169.7</v>
      </c>
      <c r="E99" s="1">
        <v>0</v>
      </c>
      <c r="F99" s="1">
        <v>0</v>
      </c>
      <c r="G99" s="1">
        <v>8</v>
      </c>
      <c r="H99" s="1">
        <v>20170603</v>
      </c>
      <c r="I99" s="5">
        <f t="shared" ref="I99:I130" si="19">D99*0.08</f>
        <v>13.575999999999999</v>
      </c>
      <c r="J99" s="5">
        <f t="shared" ref="J99:J130" si="20">E99*0.022</f>
        <v>0</v>
      </c>
      <c r="K99" s="5">
        <f t="shared" ref="K99:K130" si="21">F99*1.28</f>
        <v>0</v>
      </c>
      <c r="L99" s="5">
        <f t="shared" ref="L99:L130" si="22">SUM(I99,J99,K99)</f>
        <v>13.575999999999999</v>
      </c>
      <c r="M99" s="5">
        <f t="shared" si="17"/>
        <v>1824302.8951999997</v>
      </c>
      <c r="N99" s="5">
        <f>L148-M99</f>
        <v>52.536999999778345</v>
      </c>
    </row>
    <row r="100" spans="1:14" hidden="1">
      <c r="A100" s="1">
        <f t="shared" si="18"/>
        <v>98</v>
      </c>
      <c r="B100" s="1" t="s">
        <v>83</v>
      </c>
      <c r="C100" s="1" t="s">
        <v>183</v>
      </c>
      <c r="D100" s="1">
        <v>150.69999999999999</v>
      </c>
      <c r="E100" s="1">
        <v>0</v>
      </c>
      <c r="F100" s="1">
        <v>0</v>
      </c>
      <c r="G100" s="1">
        <v>12</v>
      </c>
      <c r="H100" s="1">
        <v>20161103</v>
      </c>
      <c r="I100" s="5">
        <f t="shared" si="19"/>
        <v>12.055999999999999</v>
      </c>
      <c r="J100" s="5">
        <f t="shared" si="20"/>
        <v>0</v>
      </c>
      <c r="K100" s="5">
        <f t="shared" si="21"/>
        <v>0</v>
      </c>
      <c r="L100" s="5">
        <f t="shared" si="22"/>
        <v>12.055999999999999</v>
      </c>
      <c r="M100" s="5">
        <f t="shared" ref="M100:M131" si="23">L100+M99</f>
        <v>1824314.9511999998</v>
      </c>
      <c r="N100" s="5">
        <f>L148-M100</f>
        <v>40.480999999679625</v>
      </c>
    </row>
    <row r="101" spans="1:14" hidden="1">
      <c r="A101" s="1">
        <f t="shared" si="18"/>
        <v>99</v>
      </c>
      <c r="B101" s="1" t="s">
        <v>83</v>
      </c>
      <c r="C101" s="1" t="s">
        <v>184</v>
      </c>
      <c r="D101" s="1">
        <v>0.1</v>
      </c>
      <c r="E101" s="1">
        <v>509.6</v>
      </c>
      <c r="F101" s="1">
        <v>0</v>
      </c>
      <c r="G101" s="1">
        <v>515</v>
      </c>
      <c r="H101" s="1">
        <v>20170714</v>
      </c>
      <c r="I101" s="5">
        <f t="shared" si="19"/>
        <v>8.0000000000000002E-3</v>
      </c>
      <c r="J101" s="5">
        <f t="shared" si="20"/>
        <v>11.2112</v>
      </c>
      <c r="K101" s="5">
        <f t="shared" si="21"/>
        <v>0</v>
      </c>
      <c r="L101" s="5">
        <f t="shared" si="22"/>
        <v>11.219199999999999</v>
      </c>
      <c r="M101" s="5">
        <f t="shared" si="23"/>
        <v>1824326.1703999997</v>
      </c>
      <c r="N101" s="5">
        <f>L148-M101</f>
        <v>29.261799999745563</v>
      </c>
    </row>
    <row r="102" spans="1:14" hidden="1">
      <c r="A102" s="1">
        <f t="shared" si="18"/>
        <v>100</v>
      </c>
      <c r="B102" s="1" t="s">
        <v>83</v>
      </c>
      <c r="C102" s="1" t="s">
        <v>185</v>
      </c>
      <c r="D102" s="1">
        <v>131.19999999999999</v>
      </c>
      <c r="E102" s="1">
        <v>0</v>
      </c>
      <c r="F102" s="1">
        <v>0</v>
      </c>
      <c r="G102" s="1">
        <v>15</v>
      </c>
      <c r="H102" s="1">
        <v>20170419</v>
      </c>
      <c r="I102" s="5">
        <f t="shared" si="19"/>
        <v>10.495999999999999</v>
      </c>
      <c r="J102" s="5">
        <f t="shared" si="20"/>
        <v>0</v>
      </c>
      <c r="K102" s="5">
        <f t="shared" si="21"/>
        <v>0</v>
      </c>
      <c r="L102" s="5">
        <f t="shared" si="22"/>
        <v>10.495999999999999</v>
      </c>
      <c r="M102" s="5">
        <f t="shared" si="23"/>
        <v>1824336.6663999998</v>
      </c>
      <c r="N102" s="5">
        <f>L148-M102</f>
        <v>18.765799999702722</v>
      </c>
    </row>
    <row r="103" spans="1:14" hidden="1">
      <c r="A103" s="1">
        <f t="shared" si="18"/>
        <v>101</v>
      </c>
      <c r="B103" s="1" t="s">
        <v>83</v>
      </c>
      <c r="C103" s="1" t="s">
        <v>186</v>
      </c>
      <c r="D103" s="1">
        <v>0</v>
      </c>
      <c r="E103" s="1">
        <v>304.39999999999998</v>
      </c>
      <c r="F103" s="1">
        <v>0</v>
      </c>
      <c r="G103" s="1">
        <v>211</v>
      </c>
      <c r="H103" s="1">
        <v>20161207</v>
      </c>
      <c r="I103" s="5">
        <f t="shared" si="19"/>
        <v>0</v>
      </c>
      <c r="J103" s="5">
        <f t="shared" si="20"/>
        <v>6.6967999999999988</v>
      </c>
      <c r="K103" s="5">
        <f t="shared" si="21"/>
        <v>0</v>
      </c>
      <c r="L103" s="5">
        <f t="shared" si="22"/>
        <v>6.6967999999999988</v>
      </c>
      <c r="M103" s="5">
        <f t="shared" si="23"/>
        <v>1824343.3631999998</v>
      </c>
      <c r="N103" s="5">
        <f>L148-M103</f>
        <v>12.068999999668449</v>
      </c>
    </row>
    <row r="104" spans="1:14" hidden="1">
      <c r="A104" s="1">
        <f t="shared" si="18"/>
        <v>102</v>
      </c>
      <c r="B104" s="1" t="s">
        <v>83</v>
      </c>
      <c r="C104" s="1" t="s">
        <v>187</v>
      </c>
      <c r="D104" s="1">
        <v>41.3</v>
      </c>
      <c r="E104" s="1">
        <v>0</v>
      </c>
      <c r="F104" s="1">
        <v>0</v>
      </c>
      <c r="G104" s="1">
        <v>13</v>
      </c>
      <c r="H104" s="1">
        <v>20171015</v>
      </c>
      <c r="I104" s="5">
        <f t="shared" si="19"/>
        <v>3.3039999999999998</v>
      </c>
      <c r="J104" s="5">
        <f t="shared" si="20"/>
        <v>0</v>
      </c>
      <c r="K104" s="5">
        <f t="shared" si="21"/>
        <v>0</v>
      </c>
      <c r="L104" s="5">
        <f t="shared" si="22"/>
        <v>3.3039999999999998</v>
      </c>
      <c r="M104" s="5">
        <f t="shared" si="23"/>
        <v>1824346.6671999998</v>
      </c>
      <c r="N104" s="5">
        <f>L148-M104</f>
        <v>8.7649999996647239</v>
      </c>
    </row>
    <row r="105" spans="1:14" hidden="1">
      <c r="A105" s="1">
        <f t="shared" si="18"/>
        <v>103</v>
      </c>
      <c r="B105" s="1" t="s">
        <v>83</v>
      </c>
      <c r="C105" s="1" t="s">
        <v>188</v>
      </c>
      <c r="D105" s="1">
        <v>25.5</v>
      </c>
      <c r="E105" s="1">
        <v>0</v>
      </c>
      <c r="F105" s="1">
        <v>0.1</v>
      </c>
      <c r="G105" s="1">
        <v>110</v>
      </c>
      <c r="H105" s="1">
        <v>20170502</v>
      </c>
      <c r="I105" s="5">
        <f t="shared" si="19"/>
        <v>2.04</v>
      </c>
      <c r="J105" s="5">
        <f t="shared" si="20"/>
        <v>0</v>
      </c>
      <c r="K105" s="5">
        <f t="shared" si="21"/>
        <v>0.128</v>
      </c>
      <c r="L105" s="5">
        <f t="shared" si="22"/>
        <v>2.1680000000000001</v>
      </c>
      <c r="M105" s="5">
        <f t="shared" si="23"/>
        <v>1824348.8351999999</v>
      </c>
      <c r="N105" s="5">
        <f>L148-M105</f>
        <v>6.5969999996013939</v>
      </c>
    </row>
    <row r="106" spans="1:14" hidden="1">
      <c r="A106" s="1">
        <f t="shared" si="18"/>
        <v>104</v>
      </c>
      <c r="B106" s="1" t="s">
        <v>100</v>
      </c>
      <c r="C106" s="1" t="s">
        <v>189</v>
      </c>
      <c r="D106" s="1">
        <v>0.4</v>
      </c>
      <c r="E106" s="1">
        <v>0.1</v>
      </c>
      <c r="F106" s="1">
        <v>0.9</v>
      </c>
      <c r="G106" s="1">
        <v>55</v>
      </c>
      <c r="H106" s="1">
        <v>20170926</v>
      </c>
      <c r="I106" s="5">
        <f t="shared" si="19"/>
        <v>3.2000000000000001E-2</v>
      </c>
      <c r="J106" s="5">
        <f t="shared" si="20"/>
        <v>2.2000000000000001E-3</v>
      </c>
      <c r="K106" s="5">
        <f t="shared" si="21"/>
        <v>1.1520000000000001</v>
      </c>
      <c r="L106" s="5">
        <f t="shared" si="22"/>
        <v>1.1862000000000001</v>
      </c>
      <c r="M106" s="5">
        <f t="shared" si="23"/>
        <v>1824350.0214</v>
      </c>
      <c r="N106" s="5">
        <f>L148-M106</f>
        <v>5.4107999994885176</v>
      </c>
    </row>
    <row r="107" spans="1:14" hidden="1">
      <c r="A107" s="1">
        <f t="shared" si="18"/>
        <v>105</v>
      </c>
      <c r="B107" s="1" t="s">
        <v>83</v>
      </c>
      <c r="C107" s="1" t="s">
        <v>190</v>
      </c>
      <c r="D107" s="1">
        <v>0</v>
      </c>
      <c r="E107" s="1">
        <v>45.2</v>
      </c>
      <c r="F107" s="1">
        <v>0</v>
      </c>
      <c r="G107" s="1">
        <v>13</v>
      </c>
      <c r="H107" s="1">
        <v>20170224</v>
      </c>
      <c r="I107" s="5">
        <f t="shared" si="19"/>
        <v>0</v>
      </c>
      <c r="J107" s="5">
        <f t="shared" si="20"/>
        <v>0.99439999999999995</v>
      </c>
      <c r="K107" s="5">
        <f t="shared" si="21"/>
        <v>0</v>
      </c>
      <c r="L107" s="5">
        <f t="shared" si="22"/>
        <v>0.99439999999999995</v>
      </c>
      <c r="M107" s="5">
        <f t="shared" si="23"/>
        <v>1824351.0157999999</v>
      </c>
      <c r="N107" s="5">
        <f>L148-M107</f>
        <v>4.4163999995216727</v>
      </c>
    </row>
    <row r="108" spans="1:14" hidden="1">
      <c r="A108" s="1">
        <f t="shared" si="18"/>
        <v>106</v>
      </c>
      <c r="B108" s="1" t="s">
        <v>100</v>
      </c>
      <c r="C108" s="1" t="s">
        <v>191</v>
      </c>
      <c r="D108" s="1">
        <v>0.5</v>
      </c>
      <c r="E108" s="1">
        <v>43.2</v>
      </c>
      <c r="F108" s="1">
        <v>0</v>
      </c>
      <c r="G108" s="1">
        <v>166</v>
      </c>
      <c r="H108" s="1">
        <v>20170808</v>
      </c>
      <c r="I108" s="5">
        <f t="shared" si="19"/>
        <v>0.04</v>
      </c>
      <c r="J108" s="5">
        <f t="shared" si="20"/>
        <v>0.95040000000000002</v>
      </c>
      <c r="K108" s="5">
        <f t="shared" si="21"/>
        <v>0</v>
      </c>
      <c r="L108" s="5">
        <f t="shared" si="22"/>
        <v>0.99040000000000006</v>
      </c>
      <c r="M108" s="5">
        <f t="shared" si="23"/>
        <v>1824352.0061999999</v>
      </c>
      <c r="N108" s="5">
        <f>L148-M108</f>
        <v>3.425999999511987</v>
      </c>
    </row>
    <row r="109" spans="1:14" hidden="1">
      <c r="A109" s="1">
        <f t="shared" si="18"/>
        <v>107</v>
      </c>
      <c r="B109" s="1" t="s">
        <v>83</v>
      </c>
      <c r="C109" s="1" t="s">
        <v>192</v>
      </c>
      <c r="D109" s="1">
        <v>8.6</v>
      </c>
      <c r="E109" s="1">
        <v>0</v>
      </c>
      <c r="F109" s="1">
        <v>0</v>
      </c>
      <c r="G109" s="1">
        <v>318</v>
      </c>
      <c r="H109" s="1">
        <v>20170501</v>
      </c>
      <c r="I109" s="5">
        <f t="shared" si="19"/>
        <v>0.68799999999999994</v>
      </c>
      <c r="J109" s="5">
        <f t="shared" si="20"/>
        <v>0</v>
      </c>
      <c r="K109" s="5">
        <f t="shared" si="21"/>
        <v>0</v>
      </c>
      <c r="L109" s="5">
        <f t="shared" si="22"/>
        <v>0.68799999999999994</v>
      </c>
      <c r="M109" s="5">
        <f t="shared" si="23"/>
        <v>1824352.6942</v>
      </c>
      <c r="N109" s="5">
        <f>L148-M109</f>
        <v>2.7379999994300306</v>
      </c>
    </row>
    <row r="110" spans="1:14" hidden="1">
      <c r="A110" s="1">
        <f t="shared" si="18"/>
        <v>108</v>
      </c>
      <c r="B110" s="1" t="s">
        <v>83</v>
      </c>
      <c r="C110" s="1" t="s">
        <v>193</v>
      </c>
      <c r="D110" s="1">
        <v>7.3</v>
      </c>
      <c r="E110" s="1">
        <v>0</v>
      </c>
      <c r="F110" s="1">
        <v>0</v>
      </c>
      <c r="G110" s="1">
        <v>5</v>
      </c>
      <c r="H110" s="1">
        <v>20161109</v>
      </c>
      <c r="I110" s="5">
        <f t="shared" si="19"/>
        <v>0.58399999999999996</v>
      </c>
      <c r="J110" s="5">
        <f t="shared" si="20"/>
        <v>0</v>
      </c>
      <c r="K110" s="5">
        <f t="shared" si="21"/>
        <v>0</v>
      </c>
      <c r="L110" s="5">
        <f t="shared" si="22"/>
        <v>0.58399999999999996</v>
      </c>
      <c r="M110" s="5">
        <f t="shared" si="23"/>
        <v>1824353.2782000001</v>
      </c>
      <c r="N110" s="5">
        <f>L148-M110</f>
        <v>2.1539999993983656</v>
      </c>
    </row>
    <row r="111" spans="1:14" hidden="1">
      <c r="A111" s="1">
        <f t="shared" si="18"/>
        <v>109</v>
      </c>
      <c r="B111" s="1" t="s">
        <v>83</v>
      </c>
      <c r="C111" s="1" t="s">
        <v>194</v>
      </c>
      <c r="D111" s="1">
        <v>2.6</v>
      </c>
      <c r="E111" s="1">
        <v>3.3</v>
      </c>
      <c r="F111" s="1">
        <v>0.1</v>
      </c>
      <c r="G111" s="1">
        <v>86</v>
      </c>
      <c r="H111" s="1">
        <v>20170926</v>
      </c>
      <c r="I111" s="5">
        <f t="shared" si="19"/>
        <v>0.20800000000000002</v>
      </c>
      <c r="J111" s="5">
        <f t="shared" si="20"/>
        <v>7.2599999999999998E-2</v>
      </c>
      <c r="K111" s="5">
        <f t="shared" si="21"/>
        <v>0.128</v>
      </c>
      <c r="L111" s="5">
        <f t="shared" si="22"/>
        <v>0.40860000000000002</v>
      </c>
      <c r="M111" s="5">
        <f t="shared" si="23"/>
        <v>1824353.6868</v>
      </c>
      <c r="N111" s="5">
        <f>L148-M111</f>
        <v>1.7453999994322658</v>
      </c>
    </row>
    <row r="112" spans="1:14" hidden="1">
      <c r="A112" s="1">
        <f t="shared" si="18"/>
        <v>110</v>
      </c>
      <c r="B112" s="1" t="s">
        <v>83</v>
      </c>
      <c r="C112" s="1" t="s">
        <v>195</v>
      </c>
      <c r="D112" s="1">
        <v>0.6</v>
      </c>
      <c r="E112" s="1">
        <v>0</v>
      </c>
      <c r="F112" s="1">
        <v>0.1</v>
      </c>
      <c r="G112" s="1">
        <v>17</v>
      </c>
      <c r="H112" s="1">
        <v>20170512</v>
      </c>
      <c r="I112" s="5">
        <f t="shared" si="19"/>
        <v>4.8000000000000001E-2</v>
      </c>
      <c r="J112" s="5">
        <f t="shared" si="20"/>
        <v>0</v>
      </c>
      <c r="K112" s="5">
        <f t="shared" si="21"/>
        <v>0.128</v>
      </c>
      <c r="L112" s="5">
        <f t="shared" si="22"/>
        <v>0.17599999999999999</v>
      </c>
      <c r="M112" s="5">
        <f t="shared" si="23"/>
        <v>1824353.8628</v>
      </c>
      <c r="N112" s="5">
        <f>L148-M112</f>
        <v>1.5693999994546175</v>
      </c>
    </row>
    <row r="113" spans="1:14" hidden="1">
      <c r="A113" s="1">
        <f t="shared" si="18"/>
        <v>111</v>
      </c>
      <c r="B113" s="1" t="s">
        <v>83</v>
      </c>
      <c r="C113" s="1" t="s">
        <v>196</v>
      </c>
      <c r="D113" s="1">
        <v>0</v>
      </c>
      <c r="E113" s="1">
        <v>7.5</v>
      </c>
      <c r="F113" s="1">
        <v>0</v>
      </c>
      <c r="G113" s="1">
        <v>59</v>
      </c>
      <c r="H113" s="1">
        <v>20170308</v>
      </c>
      <c r="I113" s="5">
        <f t="shared" si="19"/>
        <v>0</v>
      </c>
      <c r="J113" s="5">
        <f t="shared" si="20"/>
        <v>0.16499999999999998</v>
      </c>
      <c r="K113" s="5">
        <f t="shared" si="21"/>
        <v>0</v>
      </c>
      <c r="L113" s="5">
        <f t="shared" si="22"/>
        <v>0.16499999999999998</v>
      </c>
      <c r="M113" s="5">
        <f t="shared" si="23"/>
        <v>1824354.0278</v>
      </c>
      <c r="N113" s="5">
        <f>L148-M113</f>
        <v>1.4043999994173646</v>
      </c>
    </row>
    <row r="114" spans="1:14" hidden="1">
      <c r="A114" s="1">
        <f t="shared" si="18"/>
        <v>112</v>
      </c>
      <c r="B114" s="1" t="s">
        <v>83</v>
      </c>
      <c r="C114" s="1" t="s">
        <v>197</v>
      </c>
      <c r="D114" s="1">
        <v>0.2</v>
      </c>
      <c r="E114" s="1">
        <v>0</v>
      </c>
      <c r="F114" s="1">
        <v>0.1</v>
      </c>
      <c r="G114" s="1">
        <v>8</v>
      </c>
      <c r="H114" s="1">
        <v>20170326</v>
      </c>
      <c r="I114" s="5">
        <f t="shared" si="19"/>
        <v>1.6E-2</v>
      </c>
      <c r="J114" s="5">
        <f t="shared" si="20"/>
        <v>0</v>
      </c>
      <c r="K114" s="5">
        <f t="shared" si="21"/>
        <v>0.128</v>
      </c>
      <c r="L114" s="5">
        <f t="shared" si="22"/>
        <v>0.14400000000000002</v>
      </c>
      <c r="M114" s="5">
        <f t="shared" si="23"/>
        <v>1824354.1718000001</v>
      </c>
      <c r="N114" s="5">
        <f>L148-M114</f>
        <v>1.2603999993298203</v>
      </c>
    </row>
    <row r="115" spans="1:14" hidden="1">
      <c r="A115" s="1">
        <f t="shared" si="18"/>
        <v>113</v>
      </c>
      <c r="B115" s="1" t="s">
        <v>83</v>
      </c>
      <c r="C115" s="1" t="s">
        <v>198</v>
      </c>
      <c r="D115" s="1">
        <v>0.1</v>
      </c>
      <c r="E115" s="1">
        <v>0</v>
      </c>
      <c r="F115" s="1">
        <v>0.1</v>
      </c>
      <c r="G115" s="1">
        <v>11</v>
      </c>
      <c r="H115" s="1">
        <v>20170728</v>
      </c>
      <c r="I115" s="5">
        <f t="shared" si="19"/>
        <v>8.0000000000000002E-3</v>
      </c>
      <c r="J115" s="5">
        <f t="shared" si="20"/>
        <v>0</v>
      </c>
      <c r="K115" s="5">
        <f t="shared" si="21"/>
        <v>0.128</v>
      </c>
      <c r="L115" s="5">
        <f t="shared" si="22"/>
        <v>0.13600000000000001</v>
      </c>
      <c r="M115" s="5">
        <f t="shared" si="23"/>
        <v>1824354.3078000001</v>
      </c>
      <c r="N115" s="5">
        <f>L148-M115</f>
        <v>1.1243999993894249</v>
      </c>
    </row>
    <row r="116" spans="1:14" hidden="1">
      <c r="A116" s="1">
        <f t="shared" si="18"/>
        <v>114</v>
      </c>
      <c r="B116" s="1" t="s">
        <v>83</v>
      </c>
      <c r="C116" s="1" t="s">
        <v>199</v>
      </c>
      <c r="D116" s="1">
        <v>0</v>
      </c>
      <c r="E116" s="1">
        <v>0</v>
      </c>
      <c r="F116" s="1">
        <v>0.1</v>
      </c>
      <c r="G116" s="1">
        <v>3</v>
      </c>
      <c r="H116" s="1">
        <v>20170727</v>
      </c>
      <c r="I116" s="5">
        <f t="shared" si="19"/>
        <v>0</v>
      </c>
      <c r="J116" s="5">
        <f t="shared" si="20"/>
        <v>0</v>
      </c>
      <c r="K116" s="5">
        <f t="shared" si="21"/>
        <v>0.128</v>
      </c>
      <c r="L116" s="5">
        <f t="shared" si="22"/>
        <v>0.128</v>
      </c>
      <c r="M116" s="5">
        <f t="shared" si="23"/>
        <v>1824354.4358000001</v>
      </c>
      <c r="N116" s="5">
        <f>L148-M116</f>
        <v>0.99639999936334789</v>
      </c>
    </row>
    <row r="117" spans="1:14" hidden="1">
      <c r="A117" s="1">
        <f t="shared" si="18"/>
        <v>115</v>
      </c>
      <c r="B117" s="1" t="s">
        <v>83</v>
      </c>
      <c r="C117" s="1" t="s">
        <v>200</v>
      </c>
      <c r="D117" s="1">
        <v>1.5</v>
      </c>
      <c r="E117" s="1">
        <v>0</v>
      </c>
      <c r="F117" s="1">
        <v>0</v>
      </c>
      <c r="G117" s="1">
        <v>23</v>
      </c>
      <c r="H117" s="1">
        <v>20170508</v>
      </c>
      <c r="I117" s="5">
        <f t="shared" si="19"/>
        <v>0.12</v>
      </c>
      <c r="J117" s="5">
        <f t="shared" si="20"/>
        <v>0</v>
      </c>
      <c r="K117" s="5">
        <f t="shared" si="21"/>
        <v>0</v>
      </c>
      <c r="L117" s="5">
        <f t="shared" si="22"/>
        <v>0.12</v>
      </c>
      <c r="M117" s="5">
        <f t="shared" si="23"/>
        <v>1824354.5558000002</v>
      </c>
      <c r="N117" s="5">
        <f>L148-M117</f>
        <v>0.87639999925158918</v>
      </c>
    </row>
    <row r="118" spans="1:14" hidden="1">
      <c r="A118" s="1">
        <f t="shared" si="18"/>
        <v>116</v>
      </c>
      <c r="B118" s="1" t="s">
        <v>83</v>
      </c>
      <c r="C118" s="1" t="s">
        <v>201</v>
      </c>
      <c r="D118" s="1">
        <v>1.3</v>
      </c>
      <c r="E118" s="1">
        <v>0</v>
      </c>
      <c r="F118" s="1">
        <v>0</v>
      </c>
      <c r="G118" s="1">
        <v>38</v>
      </c>
      <c r="H118" s="1">
        <v>20170502</v>
      </c>
      <c r="I118" s="5">
        <f t="shared" si="19"/>
        <v>0.10400000000000001</v>
      </c>
      <c r="J118" s="5">
        <f t="shared" si="20"/>
        <v>0</v>
      </c>
      <c r="K118" s="5">
        <f t="shared" si="21"/>
        <v>0</v>
      </c>
      <c r="L118" s="5">
        <f t="shared" si="22"/>
        <v>0.10400000000000001</v>
      </c>
      <c r="M118" s="5">
        <f t="shared" si="23"/>
        <v>1824354.6598000003</v>
      </c>
      <c r="N118" s="5">
        <f>L148-M118</f>
        <v>0.77239999920129776</v>
      </c>
    </row>
    <row r="119" spans="1:14" hidden="1">
      <c r="A119" s="1">
        <f t="shared" si="18"/>
        <v>117</v>
      </c>
      <c r="B119" s="1" t="s">
        <v>83</v>
      </c>
      <c r="C119" s="1" t="s">
        <v>202</v>
      </c>
      <c r="D119" s="1">
        <v>1.3</v>
      </c>
      <c r="E119" s="1">
        <v>0</v>
      </c>
      <c r="F119" s="1">
        <v>0</v>
      </c>
      <c r="G119" s="1">
        <v>22</v>
      </c>
      <c r="H119" s="1">
        <v>20170502</v>
      </c>
      <c r="I119" s="5">
        <f t="shared" si="19"/>
        <v>0.10400000000000001</v>
      </c>
      <c r="J119" s="5">
        <f t="shared" si="20"/>
        <v>0</v>
      </c>
      <c r="K119" s="5">
        <f t="shared" si="21"/>
        <v>0</v>
      </c>
      <c r="L119" s="5">
        <f t="shared" si="22"/>
        <v>0.10400000000000001</v>
      </c>
      <c r="M119" s="5">
        <f t="shared" si="23"/>
        <v>1824354.7638000003</v>
      </c>
      <c r="N119" s="5">
        <f>L148-M119</f>
        <v>0.66839999915100634</v>
      </c>
    </row>
    <row r="120" spans="1:14" hidden="1">
      <c r="A120" s="1">
        <f t="shared" si="18"/>
        <v>118</v>
      </c>
      <c r="B120" s="1" t="s">
        <v>100</v>
      </c>
      <c r="C120" s="1" t="s">
        <v>203</v>
      </c>
      <c r="D120" s="1">
        <v>1.1000000000000001</v>
      </c>
      <c r="E120" s="1">
        <v>0.1</v>
      </c>
      <c r="F120" s="1">
        <v>0</v>
      </c>
      <c r="G120" s="1">
        <v>90</v>
      </c>
      <c r="H120" s="1">
        <v>20170913</v>
      </c>
      <c r="I120" s="5">
        <f t="shared" si="19"/>
        <v>8.8000000000000009E-2</v>
      </c>
      <c r="J120" s="5">
        <f t="shared" si="20"/>
        <v>2.2000000000000001E-3</v>
      </c>
      <c r="K120" s="5">
        <f t="shared" si="21"/>
        <v>0</v>
      </c>
      <c r="L120" s="5">
        <f t="shared" si="22"/>
        <v>9.0200000000000002E-2</v>
      </c>
      <c r="M120" s="5">
        <f t="shared" si="23"/>
        <v>1824354.8540000003</v>
      </c>
      <c r="N120" s="5">
        <f>L148-M120</f>
        <v>0.57819999917410314</v>
      </c>
    </row>
    <row r="121" spans="1:14" hidden="1">
      <c r="A121" s="1">
        <f t="shared" si="18"/>
        <v>119</v>
      </c>
      <c r="B121" s="1" t="s">
        <v>83</v>
      </c>
      <c r="C121" s="1" t="s">
        <v>204</v>
      </c>
      <c r="D121" s="1">
        <v>0</v>
      </c>
      <c r="E121" s="1">
        <v>4.0999999999999996</v>
      </c>
      <c r="F121" s="1">
        <v>0</v>
      </c>
      <c r="G121" s="1">
        <v>1</v>
      </c>
      <c r="H121" s="1">
        <v>20171006</v>
      </c>
      <c r="I121" s="5">
        <f t="shared" si="19"/>
        <v>0</v>
      </c>
      <c r="J121" s="5">
        <f t="shared" si="20"/>
        <v>9.0199999999999989E-2</v>
      </c>
      <c r="K121" s="5">
        <f t="shared" si="21"/>
        <v>0</v>
      </c>
      <c r="L121" s="5">
        <f t="shared" si="22"/>
        <v>9.0199999999999989E-2</v>
      </c>
      <c r="M121" s="5">
        <f t="shared" si="23"/>
        <v>1824354.9442000003</v>
      </c>
      <c r="N121" s="5">
        <f>L148-M121</f>
        <v>0.48799999919719994</v>
      </c>
    </row>
    <row r="122" spans="1:14" hidden="1">
      <c r="A122" s="1">
        <f t="shared" si="18"/>
        <v>120</v>
      </c>
      <c r="B122" s="1" t="s">
        <v>83</v>
      </c>
      <c r="C122" s="1" t="s">
        <v>205</v>
      </c>
      <c r="D122" s="1">
        <v>1</v>
      </c>
      <c r="E122" s="1">
        <v>0</v>
      </c>
      <c r="F122" s="1">
        <v>0</v>
      </c>
      <c r="G122" s="1">
        <v>85</v>
      </c>
      <c r="H122" s="1">
        <v>20170501</v>
      </c>
      <c r="I122" s="5">
        <f t="shared" si="19"/>
        <v>0.08</v>
      </c>
      <c r="J122" s="5">
        <f t="shared" si="20"/>
        <v>0</v>
      </c>
      <c r="K122" s="5">
        <f t="shared" si="21"/>
        <v>0</v>
      </c>
      <c r="L122" s="5">
        <f t="shared" si="22"/>
        <v>0.08</v>
      </c>
      <c r="M122" s="5">
        <f t="shared" si="23"/>
        <v>1824355.0242000003</v>
      </c>
      <c r="N122" s="5">
        <f>L148-M122</f>
        <v>0.40799999912269413</v>
      </c>
    </row>
    <row r="123" spans="1:14" hidden="1">
      <c r="A123" s="1">
        <f t="shared" si="18"/>
        <v>121</v>
      </c>
      <c r="B123" s="1" t="s">
        <v>83</v>
      </c>
      <c r="C123" s="1" t="s">
        <v>206</v>
      </c>
      <c r="D123" s="1">
        <v>1</v>
      </c>
      <c r="E123" s="1">
        <v>0</v>
      </c>
      <c r="F123" s="1">
        <v>0</v>
      </c>
      <c r="G123" s="1">
        <v>12</v>
      </c>
      <c r="H123" s="1">
        <v>20170501</v>
      </c>
      <c r="I123" s="5">
        <f t="shared" si="19"/>
        <v>0.08</v>
      </c>
      <c r="J123" s="5">
        <f t="shared" si="20"/>
        <v>0</v>
      </c>
      <c r="K123" s="5">
        <f t="shared" si="21"/>
        <v>0</v>
      </c>
      <c r="L123" s="5">
        <f t="shared" si="22"/>
        <v>0.08</v>
      </c>
      <c r="M123" s="5">
        <f t="shared" si="23"/>
        <v>1824355.1042000004</v>
      </c>
      <c r="N123" s="5">
        <f>L148-M123</f>
        <v>0.32799999904818833</v>
      </c>
    </row>
    <row r="124" spans="1:14" hidden="1">
      <c r="A124" s="1">
        <f t="shared" si="18"/>
        <v>122</v>
      </c>
      <c r="B124" s="1" t="s">
        <v>83</v>
      </c>
      <c r="C124" s="1" t="s">
        <v>207</v>
      </c>
      <c r="D124" s="1">
        <v>0</v>
      </c>
      <c r="E124" s="1">
        <v>3.2</v>
      </c>
      <c r="F124" s="1">
        <v>0</v>
      </c>
      <c r="G124" s="1">
        <v>27</v>
      </c>
      <c r="H124" s="1">
        <v>20161213</v>
      </c>
      <c r="I124" s="5">
        <f t="shared" si="19"/>
        <v>0</v>
      </c>
      <c r="J124" s="5">
        <f t="shared" si="20"/>
        <v>7.0400000000000004E-2</v>
      </c>
      <c r="K124" s="5">
        <f t="shared" si="21"/>
        <v>0</v>
      </c>
      <c r="L124" s="5">
        <f t="shared" si="22"/>
        <v>7.0400000000000004E-2</v>
      </c>
      <c r="M124" s="5">
        <f t="shared" si="23"/>
        <v>1824355.1746000005</v>
      </c>
      <c r="N124" s="5">
        <f>L148-M124</f>
        <v>0.25759999896399677</v>
      </c>
    </row>
    <row r="125" spans="1:14" hidden="1">
      <c r="A125" s="1">
        <f t="shared" si="18"/>
        <v>123</v>
      </c>
      <c r="B125" s="1" t="s">
        <v>83</v>
      </c>
      <c r="C125" s="1" t="s">
        <v>208</v>
      </c>
      <c r="D125" s="1">
        <v>0</v>
      </c>
      <c r="E125" s="1">
        <v>1.9</v>
      </c>
      <c r="F125" s="1">
        <v>0</v>
      </c>
      <c r="G125" s="1">
        <v>21</v>
      </c>
      <c r="H125" s="1">
        <v>20171016</v>
      </c>
      <c r="I125" s="5">
        <f t="shared" si="19"/>
        <v>0</v>
      </c>
      <c r="J125" s="5">
        <f t="shared" si="20"/>
        <v>4.1799999999999997E-2</v>
      </c>
      <c r="K125" s="5">
        <f t="shared" si="21"/>
        <v>0</v>
      </c>
      <c r="L125" s="5">
        <f t="shared" si="22"/>
        <v>4.1799999999999997E-2</v>
      </c>
      <c r="M125" s="5">
        <f t="shared" si="23"/>
        <v>1824355.2164000005</v>
      </c>
      <c r="N125" s="5">
        <f>L148-M125</f>
        <v>0.21579999895766377</v>
      </c>
    </row>
    <row r="126" spans="1:14" hidden="1">
      <c r="A126" s="1">
        <f t="shared" si="18"/>
        <v>124</v>
      </c>
      <c r="B126" s="1" t="s">
        <v>83</v>
      </c>
      <c r="C126" s="1" t="s">
        <v>209</v>
      </c>
      <c r="D126" s="1">
        <v>0</v>
      </c>
      <c r="E126" s="1">
        <v>1.7</v>
      </c>
      <c r="F126" s="1">
        <v>0</v>
      </c>
      <c r="G126" s="1">
        <v>15</v>
      </c>
      <c r="H126" s="1">
        <v>20171004</v>
      </c>
      <c r="I126" s="5">
        <f t="shared" si="19"/>
        <v>0</v>
      </c>
      <c r="J126" s="5">
        <f t="shared" si="20"/>
        <v>3.7399999999999996E-2</v>
      </c>
      <c r="K126" s="5">
        <f t="shared" si="21"/>
        <v>0</v>
      </c>
      <c r="L126" s="5">
        <f t="shared" si="22"/>
        <v>3.7399999999999996E-2</v>
      </c>
      <c r="M126" s="5">
        <f t="shared" si="23"/>
        <v>1824355.2538000005</v>
      </c>
      <c r="N126" s="5">
        <f>L148-M126</f>
        <v>0.17839999892748892</v>
      </c>
    </row>
    <row r="127" spans="1:14" hidden="1">
      <c r="A127" s="1">
        <f t="shared" si="18"/>
        <v>125</v>
      </c>
      <c r="B127" s="1" t="s">
        <v>83</v>
      </c>
      <c r="C127" s="1" t="s">
        <v>210</v>
      </c>
      <c r="D127" s="1">
        <v>0.2</v>
      </c>
      <c r="E127" s="1">
        <v>0.1</v>
      </c>
      <c r="F127" s="1">
        <v>0</v>
      </c>
      <c r="G127" s="1">
        <v>21</v>
      </c>
      <c r="H127" s="1">
        <v>20161205</v>
      </c>
      <c r="I127" s="5">
        <f t="shared" si="19"/>
        <v>1.6E-2</v>
      </c>
      <c r="J127" s="5">
        <f t="shared" si="20"/>
        <v>2.2000000000000001E-3</v>
      </c>
      <c r="K127" s="5">
        <f t="shared" si="21"/>
        <v>0</v>
      </c>
      <c r="L127" s="5">
        <f t="shared" si="22"/>
        <v>1.8200000000000001E-2</v>
      </c>
      <c r="M127" s="5">
        <f t="shared" si="23"/>
        <v>1824355.2720000006</v>
      </c>
      <c r="N127" s="5">
        <f>L148-M127</f>
        <v>0.16019999887794256</v>
      </c>
    </row>
    <row r="128" spans="1:14" hidden="1">
      <c r="A128" s="1">
        <f t="shared" si="18"/>
        <v>126</v>
      </c>
      <c r="B128" s="1" t="s">
        <v>83</v>
      </c>
      <c r="C128" s="1" t="s">
        <v>211</v>
      </c>
      <c r="D128" s="1">
        <v>0.1</v>
      </c>
      <c r="E128" s="1">
        <v>0.4</v>
      </c>
      <c r="F128" s="1">
        <v>0</v>
      </c>
      <c r="G128" s="1">
        <v>495</v>
      </c>
      <c r="H128" s="1">
        <v>20170628</v>
      </c>
      <c r="I128" s="5">
        <f t="shared" si="19"/>
        <v>8.0000000000000002E-3</v>
      </c>
      <c r="J128" s="5">
        <f t="shared" si="20"/>
        <v>8.8000000000000005E-3</v>
      </c>
      <c r="K128" s="5">
        <f t="shared" si="21"/>
        <v>0</v>
      </c>
      <c r="L128" s="5">
        <f t="shared" si="22"/>
        <v>1.6800000000000002E-2</v>
      </c>
      <c r="M128" s="5">
        <f t="shared" si="23"/>
        <v>1824355.2888000007</v>
      </c>
      <c r="N128" s="5">
        <f>L148-M128</f>
        <v>0.14339999877847731</v>
      </c>
    </row>
    <row r="129" spans="1:14" hidden="1">
      <c r="A129" s="1">
        <f t="shared" si="18"/>
        <v>127</v>
      </c>
      <c r="B129" s="1" t="s">
        <v>83</v>
      </c>
      <c r="C129" s="1" t="s">
        <v>212</v>
      </c>
      <c r="D129" s="1">
        <v>0.2</v>
      </c>
      <c r="E129" s="1">
        <v>0</v>
      </c>
      <c r="F129" s="1">
        <v>0</v>
      </c>
      <c r="G129" s="1">
        <v>36</v>
      </c>
      <c r="H129" s="1">
        <v>20170529</v>
      </c>
      <c r="I129" s="5">
        <f t="shared" si="19"/>
        <v>1.6E-2</v>
      </c>
      <c r="J129" s="5">
        <f t="shared" si="20"/>
        <v>0</v>
      </c>
      <c r="K129" s="5">
        <f t="shared" si="21"/>
        <v>0</v>
      </c>
      <c r="L129" s="5">
        <f t="shared" si="22"/>
        <v>1.6E-2</v>
      </c>
      <c r="M129" s="5">
        <f t="shared" si="23"/>
        <v>1824355.3048000007</v>
      </c>
      <c r="N129" s="5">
        <f>L148-M129</f>
        <v>0.12739999871701002</v>
      </c>
    </row>
    <row r="130" spans="1:14" hidden="1">
      <c r="A130" s="1">
        <f t="shared" si="18"/>
        <v>128</v>
      </c>
      <c r="B130" s="1" t="s">
        <v>100</v>
      </c>
      <c r="C130" s="1" t="s">
        <v>213</v>
      </c>
      <c r="D130" s="1">
        <v>0.1</v>
      </c>
      <c r="E130" s="1">
        <v>0.1</v>
      </c>
      <c r="F130" s="1">
        <v>0</v>
      </c>
      <c r="G130" s="1">
        <v>276</v>
      </c>
      <c r="H130" s="1">
        <v>20170608</v>
      </c>
      <c r="I130" s="5">
        <f t="shared" si="19"/>
        <v>8.0000000000000002E-3</v>
      </c>
      <c r="J130" s="5">
        <f t="shared" si="20"/>
        <v>2.2000000000000001E-3</v>
      </c>
      <c r="K130" s="5">
        <f t="shared" si="21"/>
        <v>0</v>
      </c>
      <c r="L130" s="5">
        <f t="shared" si="22"/>
        <v>1.0200000000000001E-2</v>
      </c>
      <c r="M130" s="5">
        <f t="shared" si="23"/>
        <v>1824355.3150000006</v>
      </c>
      <c r="N130" s="5">
        <f>L148-M130</f>
        <v>0.11719999881461263</v>
      </c>
    </row>
    <row r="131" spans="1:14" hidden="1">
      <c r="A131" s="1">
        <f t="shared" ref="A131:A147" si="24">ROW()-2</f>
        <v>129</v>
      </c>
      <c r="B131" s="1" t="s">
        <v>96</v>
      </c>
      <c r="C131" s="1" t="s">
        <v>214</v>
      </c>
      <c r="D131" s="1">
        <v>0.1</v>
      </c>
      <c r="E131" s="1">
        <v>0.1</v>
      </c>
      <c r="F131" s="1">
        <v>0</v>
      </c>
      <c r="G131" s="1">
        <v>3</v>
      </c>
      <c r="H131" s="1">
        <v>20170331</v>
      </c>
      <c r="I131" s="5">
        <f t="shared" ref="I131:I147" si="25">D131*0.08</f>
        <v>8.0000000000000002E-3</v>
      </c>
      <c r="J131" s="5">
        <f t="shared" ref="J131:J147" si="26">E131*0.022</f>
        <v>2.2000000000000001E-3</v>
      </c>
      <c r="K131" s="5">
        <f t="shared" ref="K131:K147" si="27">F131*1.28</f>
        <v>0</v>
      </c>
      <c r="L131" s="5">
        <f t="shared" ref="L131:L147" si="28">SUM(I131,J131,K131)</f>
        <v>1.0200000000000001E-2</v>
      </c>
      <c r="M131" s="5">
        <f t="shared" si="23"/>
        <v>1824355.3252000005</v>
      </c>
      <c r="N131" s="5">
        <f>L148-M131</f>
        <v>0.10699999891221523</v>
      </c>
    </row>
    <row r="132" spans="1:14" hidden="1">
      <c r="A132" s="1">
        <f t="shared" si="24"/>
        <v>130</v>
      </c>
      <c r="B132" s="1" t="s">
        <v>83</v>
      </c>
      <c r="C132" s="1" t="s">
        <v>215</v>
      </c>
      <c r="D132" s="1">
        <v>0.1</v>
      </c>
      <c r="E132" s="1">
        <v>0</v>
      </c>
      <c r="F132" s="1">
        <v>0</v>
      </c>
      <c r="G132" s="1">
        <v>1</v>
      </c>
      <c r="H132" s="1">
        <v>20170920</v>
      </c>
      <c r="I132" s="5">
        <f t="shared" si="25"/>
        <v>8.0000000000000002E-3</v>
      </c>
      <c r="J132" s="5">
        <f t="shared" si="26"/>
        <v>0</v>
      </c>
      <c r="K132" s="5">
        <f t="shared" si="27"/>
        <v>0</v>
      </c>
      <c r="L132" s="5">
        <f t="shared" si="28"/>
        <v>8.0000000000000002E-3</v>
      </c>
      <c r="M132" s="5">
        <f t="shared" ref="M132:M147" si="29">L132+M131</f>
        <v>1824355.3332000005</v>
      </c>
      <c r="N132" s="5">
        <f>L148-M132</f>
        <v>9.899999899789691E-2</v>
      </c>
    </row>
    <row r="133" spans="1:14" hidden="1">
      <c r="A133" s="1">
        <f t="shared" si="24"/>
        <v>131</v>
      </c>
      <c r="B133" s="1" t="s">
        <v>83</v>
      </c>
      <c r="C133" s="1" t="s">
        <v>216</v>
      </c>
      <c r="D133" s="1">
        <v>0.1</v>
      </c>
      <c r="E133" s="1">
        <v>0</v>
      </c>
      <c r="F133" s="1">
        <v>0</v>
      </c>
      <c r="G133" s="1">
        <v>15</v>
      </c>
      <c r="H133" s="1">
        <v>20170304</v>
      </c>
      <c r="I133" s="5">
        <f t="shared" si="25"/>
        <v>8.0000000000000002E-3</v>
      </c>
      <c r="J133" s="5">
        <f t="shared" si="26"/>
        <v>0</v>
      </c>
      <c r="K133" s="5">
        <f t="shared" si="27"/>
        <v>0</v>
      </c>
      <c r="L133" s="5">
        <f t="shared" si="28"/>
        <v>8.0000000000000002E-3</v>
      </c>
      <c r="M133" s="5">
        <f t="shared" si="29"/>
        <v>1824355.3412000004</v>
      </c>
      <c r="N133" s="5">
        <f>L148-M133</f>
        <v>9.0999999083578587E-2</v>
      </c>
    </row>
    <row r="134" spans="1:14" hidden="1">
      <c r="A134" s="1">
        <f t="shared" si="24"/>
        <v>132</v>
      </c>
      <c r="B134" s="1" t="s">
        <v>83</v>
      </c>
      <c r="C134" s="1" t="s">
        <v>217</v>
      </c>
      <c r="D134" s="1">
        <v>0.1</v>
      </c>
      <c r="E134" s="1">
        <v>0</v>
      </c>
      <c r="F134" s="1">
        <v>0</v>
      </c>
      <c r="G134" s="1">
        <v>2</v>
      </c>
      <c r="H134" s="1">
        <v>20170826</v>
      </c>
      <c r="I134" s="5">
        <f t="shared" si="25"/>
        <v>8.0000000000000002E-3</v>
      </c>
      <c r="J134" s="5">
        <f t="shared" si="26"/>
        <v>0</v>
      </c>
      <c r="K134" s="5">
        <f t="shared" si="27"/>
        <v>0</v>
      </c>
      <c r="L134" s="5">
        <f t="shared" si="28"/>
        <v>8.0000000000000002E-3</v>
      </c>
      <c r="M134" s="5">
        <f t="shared" si="29"/>
        <v>1824355.3492000003</v>
      </c>
      <c r="N134" s="5">
        <f>L148-M134</f>
        <v>8.2999999169260263E-2</v>
      </c>
    </row>
    <row r="135" spans="1:14" hidden="1">
      <c r="A135" s="1">
        <f t="shared" si="24"/>
        <v>133</v>
      </c>
      <c r="B135" s="1" t="s">
        <v>83</v>
      </c>
      <c r="C135" s="1" t="s">
        <v>218</v>
      </c>
      <c r="D135" s="1">
        <v>0.1</v>
      </c>
      <c r="E135" s="1">
        <v>0</v>
      </c>
      <c r="F135" s="1">
        <v>0</v>
      </c>
      <c r="G135" s="1">
        <v>11</v>
      </c>
      <c r="H135" s="1">
        <v>20170502</v>
      </c>
      <c r="I135" s="5">
        <f t="shared" si="25"/>
        <v>8.0000000000000002E-3</v>
      </c>
      <c r="J135" s="5">
        <f t="shared" si="26"/>
        <v>0</v>
      </c>
      <c r="K135" s="5">
        <f t="shared" si="27"/>
        <v>0</v>
      </c>
      <c r="L135" s="5">
        <f t="shared" si="28"/>
        <v>8.0000000000000002E-3</v>
      </c>
      <c r="M135" s="5">
        <f t="shared" si="29"/>
        <v>1824355.3572000002</v>
      </c>
      <c r="N135" s="5">
        <f>L148-M135</f>
        <v>7.499999925494194E-2</v>
      </c>
    </row>
    <row r="136" spans="1:14" hidden="1">
      <c r="A136" s="1">
        <f t="shared" si="24"/>
        <v>134</v>
      </c>
      <c r="B136" s="1" t="s">
        <v>83</v>
      </c>
      <c r="C136" s="1" t="s">
        <v>219</v>
      </c>
      <c r="D136" s="1">
        <v>0.1</v>
      </c>
      <c r="E136" s="1">
        <v>0</v>
      </c>
      <c r="F136" s="1">
        <v>0</v>
      </c>
      <c r="G136" s="1">
        <v>6</v>
      </c>
      <c r="H136" s="1">
        <v>20170919</v>
      </c>
      <c r="I136" s="5">
        <f t="shared" si="25"/>
        <v>8.0000000000000002E-3</v>
      </c>
      <c r="J136" s="5">
        <f t="shared" si="26"/>
        <v>0</v>
      </c>
      <c r="K136" s="5">
        <f t="shared" si="27"/>
        <v>0</v>
      </c>
      <c r="L136" s="5">
        <f t="shared" si="28"/>
        <v>8.0000000000000002E-3</v>
      </c>
      <c r="M136" s="5">
        <f t="shared" si="29"/>
        <v>1824355.3652000001</v>
      </c>
      <c r="N136" s="5">
        <f>L148-M136</f>
        <v>6.6999999340623617E-2</v>
      </c>
    </row>
    <row r="137" spans="1:14" hidden="1">
      <c r="A137" s="1">
        <f t="shared" si="24"/>
        <v>135</v>
      </c>
      <c r="B137" s="1" t="s">
        <v>83</v>
      </c>
      <c r="C137" s="1" t="s">
        <v>220</v>
      </c>
      <c r="D137" s="1">
        <v>0.1</v>
      </c>
      <c r="E137" s="1">
        <v>0</v>
      </c>
      <c r="F137" s="1">
        <v>0</v>
      </c>
      <c r="G137" s="1">
        <v>11</v>
      </c>
      <c r="H137" s="1">
        <v>20170218</v>
      </c>
      <c r="I137" s="5">
        <f t="shared" si="25"/>
        <v>8.0000000000000002E-3</v>
      </c>
      <c r="J137" s="5">
        <f t="shared" si="26"/>
        <v>0</v>
      </c>
      <c r="K137" s="5">
        <f t="shared" si="27"/>
        <v>0</v>
      </c>
      <c r="L137" s="5">
        <f t="shared" si="28"/>
        <v>8.0000000000000002E-3</v>
      </c>
      <c r="M137" s="5">
        <f t="shared" si="29"/>
        <v>1824355.3732</v>
      </c>
      <c r="N137" s="5">
        <f>L148-M137</f>
        <v>5.8999999426305294E-2</v>
      </c>
    </row>
    <row r="138" spans="1:14" hidden="1">
      <c r="A138" s="1">
        <f t="shared" si="24"/>
        <v>136</v>
      </c>
      <c r="B138" s="1" t="s">
        <v>83</v>
      </c>
      <c r="C138" s="1" t="s">
        <v>221</v>
      </c>
      <c r="D138" s="1">
        <v>0.1</v>
      </c>
      <c r="E138" s="1">
        <v>0</v>
      </c>
      <c r="F138" s="1">
        <v>0</v>
      </c>
      <c r="G138" s="1">
        <v>1</v>
      </c>
      <c r="H138" s="1">
        <v>20170619</v>
      </c>
      <c r="I138" s="5">
        <f t="shared" si="25"/>
        <v>8.0000000000000002E-3</v>
      </c>
      <c r="J138" s="5">
        <f t="shared" si="26"/>
        <v>0</v>
      </c>
      <c r="K138" s="5">
        <f t="shared" si="27"/>
        <v>0</v>
      </c>
      <c r="L138" s="5">
        <f t="shared" si="28"/>
        <v>8.0000000000000002E-3</v>
      </c>
      <c r="M138" s="5">
        <f t="shared" si="29"/>
        <v>1824355.3811999999</v>
      </c>
      <c r="N138" s="5">
        <f>L148-M138</f>
        <v>5.0999999511986971E-2</v>
      </c>
    </row>
    <row r="139" spans="1:14" hidden="1">
      <c r="A139" s="1">
        <f t="shared" si="24"/>
        <v>137</v>
      </c>
      <c r="B139" s="1" t="s">
        <v>83</v>
      </c>
      <c r="C139" s="1" t="s">
        <v>222</v>
      </c>
      <c r="D139" s="1">
        <v>0.1</v>
      </c>
      <c r="E139" s="1">
        <v>0</v>
      </c>
      <c r="F139" s="1">
        <v>0</v>
      </c>
      <c r="G139" s="1">
        <v>12</v>
      </c>
      <c r="H139" s="1">
        <v>20170827</v>
      </c>
      <c r="I139" s="5">
        <f t="shared" si="25"/>
        <v>8.0000000000000002E-3</v>
      </c>
      <c r="J139" s="5">
        <f t="shared" si="26"/>
        <v>0</v>
      </c>
      <c r="K139" s="5">
        <f t="shared" si="27"/>
        <v>0</v>
      </c>
      <c r="L139" s="5">
        <f t="shared" si="28"/>
        <v>8.0000000000000002E-3</v>
      </c>
      <c r="M139" s="5">
        <f t="shared" si="29"/>
        <v>1824355.3891999999</v>
      </c>
      <c r="N139" s="5">
        <f>L148-M139</f>
        <v>4.2999999597668648E-2</v>
      </c>
    </row>
    <row r="140" spans="1:14" hidden="1">
      <c r="A140" s="1">
        <f t="shared" si="24"/>
        <v>138</v>
      </c>
      <c r="B140" s="1" t="s">
        <v>83</v>
      </c>
      <c r="C140" s="1" t="s">
        <v>223</v>
      </c>
      <c r="D140" s="1">
        <v>0.1</v>
      </c>
      <c r="E140" s="1">
        <v>0</v>
      </c>
      <c r="F140" s="1">
        <v>0</v>
      </c>
      <c r="G140" s="1">
        <v>18</v>
      </c>
      <c r="H140" s="1">
        <v>20170430</v>
      </c>
      <c r="I140" s="5">
        <f t="shared" si="25"/>
        <v>8.0000000000000002E-3</v>
      </c>
      <c r="J140" s="5">
        <f t="shared" si="26"/>
        <v>0</v>
      </c>
      <c r="K140" s="5">
        <f t="shared" si="27"/>
        <v>0</v>
      </c>
      <c r="L140" s="5">
        <f t="shared" si="28"/>
        <v>8.0000000000000002E-3</v>
      </c>
      <c r="M140" s="5">
        <f t="shared" si="29"/>
        <v>1824355.3971999998</v>
      </c>
      <c r="N140" s="5">
        <f>L148-M140</f>
        <v>3.4999999683350325E-2</v>
      </c>
    </row>
    <row r="141" spans="1:14" hidden="1">
      <c r="A141" s="1">
        <f t="shared" si="24"/>
        <v>139</v>
      </c>
      <c r="B141" s="1" t="s">
        <v>83</v>
      </c>
      <c r="C141" s="1" t="s">
        <v>224</v>
      </c>
      <c r="D141" s="1">
        <v>0.1</v>
      </c>
      <c r="E141" s="1">
        <v>0</v>
      </c>
      <c r="F141" s="1">
        <v>0</v>
      </c>
      <c r="G141" s="1">
        <v>7</v>
      </c>
      <c r="H141" s="1">
        <v>20170420</v>
      </c>
      <c r="I141" s="5">
        <f t="shared" si="25"/>
        <v>8.0000000000000002E-3</v>
      </c>
      <c r="J141" s="5">
        <f t="shared" si="26"/>
        <v>0</v>
      </c>
      <c r="K141" s="5">
        <f t="shared" si="27"/>
        <v>0</v>
      </c>
      <c r="L141" s="5">
        <f t="shared" si="28"/>
        <v>8.0000000000000002E-3</v>
      </c>
      <c r="M141" s="5">
        <f t="shared" si="29"/>
        <v>1824355.4051999997</v>
      </c>
      <c r="N141" s="5">
        <f>L148-M141</f>
        <v>2.6999999769032001E-2</v>
      </c>
    </row>
    <row r="142" spans="1:14" hidden="1">
      <c r="A142" s="1">
        <f t="shared" si="24"/>
        <v>140</v>
      </c>
      <c r="B142" s="1" t="s">
        <v>83</v>
      </c>
      <c r="C142" s="1" t="s">
        <v>225</v>
      </c>
      <c r="D142" s="1">
        <v>0.1</v>
      </c>
      <c r="E142" s="1">
        <v>0</v>
      </c>
      <c r="F142" s="1">
        <v>0</v>
      </c>
      <c r="G142" s="1">
        <v>3</v>
      </c>
      <c r="H142" s="1">
        <v>20170425</v>
      </c>
      <c r="I142" s="5">
        <f t="shared" si="25"/>
        <v>8.0000000000000002E-3</v>
      </c>
      <c r="J142" s="5">
        <f t="shared" si="26"/>
        <v>0</v>
      </c>
      <c r="K142" s="5">
        <f t="shared" si="27"/>
        <v>0</v>
      </c>
      <c r="L142" s="5">
        <f t="shared" si="28"/>
        <v>8.0000000000000002E-3</v>
      </c>
      <c r="M142" s="5">
        <f t="shared" si="29"/>
        <v>1824355.4131999996</v>
      </c>
      <c r="N142" s="5">
        <f>L148-M142</f>
        <v>1.8999999854713678E-2</v>
      </c>
    </row>
    <row r="143" spans="1:14" hidden="1">
      <c r="A143" s="1">
        <f t="shared" si="24"/>
        <v>141</v>
      </c>
      <c r="B143" s="1" t="s">
        <v>83</v>
      </c>
      <c r="C143" s="1" t="s">
        <v>226</v>
      </c>
      <c r="D143" s="1">
        <v>0.1</v>
      </c>
      <c r="E143" s="1">
        <v>0</v>
      </c>
      <c r="F143" s="1">
        <v>0</v>
      </c>
      <c r="G143" s="1">
        <v>1</v>
      </c>
      <c r="H143" s="1">
        <v>20170228</v>
      </c>
      <c r="I143" s="5">
        <f t="shared" si="25"/>
        <v>8.0000000000000002E-3</v>
      </c>
      <c r="J143" s="5">
        <f t="shared" si="26"/>
        <v>0</v>
      </c>
      <c r="K143" s="5">
        <f t="shared" si="27"/>
        <v>0</v>
      </c>
      <c r="L143" s="5">
        <f t="shared" si="28"/>
        <v>8.0000000000000002E-3</v>
      </c>
      <c r="M143" s="5">
        <f t="shared" si="29"/>
        <v>1824355.4211999995</v>
      </c>
      <c r="N143" s="5">
        <f>L148-M143</f>
        <v>1.0999999940395355E-2</v>
      </c>
    </row>
    <row r="144" spans="1:14" hidden="1">
      <c r="A144" s="1">
        <f t="shared" si="24"/>
        <v>142</v>
      </c>
      <c r="B144" s="1" t="s">
        <v>83</v>
      </c>
      <c r="C144" s="1" t="s">
        <v>227</v>
      </c>
      <c r="D144" s="1">
        <v>0</v>
      </c>
      <c r="E144" s="1">
        <v>0.2</v>
      </c>
      <c r="F144" s="1">
        <v>0</v>
      </c>
      <c r="G144" s="1">
        <v>350</v>
      </c>
      <c r="H144" s="1">
        <v>20170417</v>
      </c>
      <c r="I144" s="5">
        <f t="shared" si="25"/>
        <v>0</v>
      </c>
      <c r="J144" s="5">
        <f t="shared" si="26"/>
        <v>4.4000000000000003E-3</v>
      </c>
      <c r="K144" s="5">
        <f t="shared" si="27"/>
        <v>0</v>
      </c>
      <c r="L144" s="5">
        <f t="shared" si="28"/>
        <v>4.4000000000000003E-3</v>
      </c>
      <c r="M144" s="5">
        <f t="shared" si="29"/>
        <v>1824355.4255999995</v>
      </c>
      <c r="N144" s="5">
        <f>L148-M144</f>
        <v>6.5999999642372131E-3</v>
      </c>
    </row>
    <row r="145" spans="1:15" hidden="1">
      <c r="A145" s="1">
        <f t="shared" si="24"/>
        <v>143</v>
      </c>
      <c r="B145" s="1" t="s">
        <v>96</v>
      </c>
      <c r="C145" s="1" t="s">
        <v>228</v>
      </c>
      <c r="D145" s="1">
        <v>0</v>
      </c>
      <c r="E145" s="1">
        <v>0.1</v>
      </c>
      <c r="F145" s="1">
        <v>0</v>
      </c>
      <c r="G145" s="1">
        <v>1</v>
      </c>
      <c r="H145" s="1">
        <v>20161202</v>
      </c>
      <c r="I145" s="5">
        <f t="shared" si="25"/>
        <v>0</v>
      </c>
      <c r="J145" s="5">
        <f t="shared" si="26"/>
        <v>2.2000000000000001E-3</v>
      </c>
      <c r="K145" s="5">
        <f t="shared" si="27"/>
        <v>0</v>
      </c>
      <c r="L145" s="5">
        <f t="shared" si="28"/>
        <v>2.2000000000000001E-3</v>
      </c>
      <c r="M145" s="5">
        <f t="shared" si="29"/>
        <v>1824355.4277999995</v>
      </c>
      <c r="N145" s="5">
        <f>L148-M145</f>
        <v>4.3999999761581421E-3</v>
      </c>
    </row>
    <row r="146" spans="1:15" hidden="1">
      <c r="A146" s="1">
        <f t="shared" si="24"/>
        <v>144</v>
      </c>
      <c r="B146" s="1" t="s">
        <v>83</v>
      </c>
      <c r="C146" s="1" t="s">
        <v>229</v>
      </c>
      <c r="D146" s="1">
        <v>0</v>
      </c>
      <c r="E146" s="1">
        <v>0.1</v>
      </c>
      <c r="F146" s="1">
        <v>0</v>
      </c>
      <c r="G146" s="1">
        <v>1</v>
      </c>
      <c r="H146" s="1">
        <v>20161222</v>
      </c>
      <c r="I146" s="5">
        <f t="shared" si="25"/>
        <v>0</v>
      </c>
      <c r="J146" s="5">
        <f t="shared" si="26"/>
        <v>2.2000000000000001E-3</v>
      </c>
      <c r="K146" s="5">
        <f t="shared" si="27"/>
        <v>0</v>
      </c>
      <c r="L146" s="5">
        <f t="shared" si="28"/>
        <v>2.2000000000000001E-3</v>
      </c>
      <c r="M146" s="5">
        <f t="shared" si="29"/>
        <v>1824355.4299999995</v>
      </c>
      <c r="N146" s="5">
        <f>L148-M146</f>
        <v>2.199999988079071E-3</v>
      </c>
      <c r="O146" s="6"/>
    </row>
    <row r="147" spans="1:15" hidden="1">
      <c r="A147" s="1">
        <f t="shared" si="24"/>
        <v>145</v>
      </c>
      <c r="B147" s="1" t="s">
        <v>83</v>
      </c>
      <c r="C147" s="1" t="s">
        <v>230</v>
      </c>
      <c r="D147" s="1">
        <v>0</v>
      </c>
      <c r="E147" s="1">
        <v>0.1</v>
      </c>
      <c r="F147" s="1">
        <v>0</v>
      </c>
      <c r="G147" s="1">
        <v>7</v>
      </c>
      <c r="H147" s="1">
        <v>20171014</v>
      </c>
      <c r="I147" s="5">
        <f t="shared" si="25"/>
        <v>0</v>
      </c>
      <c r="J147" s="5">
        <f t="shared" si="26"/>
        <v>2.2000000000000001E-3</v>
      </c>
      <c r="K147" s="5">
        <f t="shared" si="27"/>
        <v>0</v>
      </c>
      <c r="L147" s="5">
        <f t="shared" si="28"/>
        <v>2.2000000000000001E-3</v>
      </c>
      <c r="M147" s="5">
        <f t="shared" si="29"/>
        <v>1824355.4321999995</v>
      </c>
      <c r="N147" s="5">
        <f>L148-M147</f>
        <v>0</v>
      </c>
    </row>
    <row r="148" spans="1:15">
      <c r="C148" s="1" t="s">
        <v>235</v>
      </c>
      <c r="D148" s="7">
        <f>SUM(D3:D147)</f>
        <v>19391680.200000029</v>
      </c>
      <c r="E148" s="7">
        <f>SUM(E3:E147)</f>
        <v>11106145.099999994</v>
      </c>
      <c r="F148" s="7">
        <f>SUM(F3:F147)</f>
        <v>22410.799999999988</v>
      </c>
      <c r="I148" s="5">
        <f>SUM(I3:I147)</f>
        <v>1551334.4159999988</v>
      </c>
      <c r="J148" s="5">
        <f>SUM(J3:J147)</f>
        <v>244335.19219999987</v>
      </c>
      <c r="K148" s="5">
        <f>SUM(K3:K147)</f>
        <v>28685.824000000008</v>
      </c>
      <c r="L148" s="8">
        <f>SUM(L3:L147)</f>
        <v>1824355.4321999995</v>
      </c>
    </row>
    <row r="149" spans="1:15">
      <c r="C149" s="1" t="s">
        <v>231</v>
      </c>
      <c r="D149" s="7">
        <f>D148/12</f>
        <v>1615973.3500000024</v>
      </c>
      <c r="E149" s="7">
        <f>E148/12</f>
        <v>925512.09166666621</v>
      </c>
      <c r="F149" s="7">
        <f>F148/12</f>
        <v>1867.5666666666657</v>
      </c>
    </row>
    <row r="153" spans="1:15">
      <c r="A153" s="61" t="s">
        <v>232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</sheetData>
  <mergeCells count="3">
    <mergeCell ref="A1:H1"/>
    <mergeCell ref="I1:N1"/>
    <mergeCell ref="A153:N153"/>
  </mergeCells>
  <pageMargins left="0.25" right="0.25" top="0.45" bottom="0.45" header="0.25" footer="0.25"/>
  <pageSetup fitToWidth="0" fitToHeight="0" pageOrder="overThenDown" orientation="landscape" useFirstPageNumber="1" r:id="rId1"/>
  <headerFooter alignWithMargins="0">
    <oddHeader>&amp;L*** PRELIMINARY ***&amp;CHPC Off-Premise Three year Cost Analysis&amp;R*** ESTIMATE ***</oddHeader>
    <oddFooter>&amp;L&amp;D &amp;T&amp;C"&amp;A" sheet&amp;RPage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2614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Penguin estimates</vt:lpstr>
      <vt:lpstr>AWS estimates</vt:lpstr>
      <vt:lpstr>Azure estimates</vt:lpstr>
      <vt:lpstr>NJIT costs</vt:lpstr>
      <vt:lpstr>NJIT storage</vt:lpstr>
      <vt:lpstr>NJIT usage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Walsh</dc:creator>
  <cp:lastModifiedBy>KJW</cp:lastModifiedBy>
  <cp:revision>20</cp:revision>
  <cp:lastPrinted>2017-11-10T22:05:21Z</cp:lastPrinted>
  <dcterms:created xsi:type="dcterms:W3CDTF">2017-10-18T16:45:36Z</dcterms:created>
  <dcterms:modified xsi:type="dcterms:W3CDTF">2017-11-11T00:01:46Z</dcterms:modified>
</cp:coreProperties>
</file>